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/>
  <xr:revisionPtr revIDLastSave="0" documentId="13_ncr:1_{7E127D86-5227-4493-9BD5-CB76B90C7C2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1" sheetId="11" r:id="rId1"/>
    <sheet name="C" sheetId="10" r:id="rId2"/>
    <sheet name="Hoja1" sheetId="12" r:id="rId3"/>
    <sheet name="Ratios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0" l="1"/>
  <c r="E97" i="10"/>
  <c r="F97" i="10"/>
  <c r="G97" i="10"/>
  <c r="C97" i="10"/>
  <c r="D92" i="10"/>
  <c r="E92" i="10"/>
  <c r="F92" i="10"/>
  <c r="G92" i="10"/>
  <c r="C92" i="10"/>
  <c r="G95" i="10"/>
  <c r="F95" i="10"/>
  <c r="E95" i="10"/>
  <c r="D95" i="10"/>
  <c r="C95" i="10"/>
  <c r="F25" i="12"/>
  <c r="F28" i="12" s="1"/>
  <c r="E25" i="12"/>
  <c r="E26" i="12" s="1"/>
  <c r="D25" i="12"/>
  <c r="D28" i="12" s="1"/>
  <c r="C25" i="12"/>
  <c r="C26" i="12" s="1"/>
  <c r="B25" i="12"/>
  <c r="B28" i="12" s="1"/>
  <c r="F38" i="12"/>
  <c r="F39" i="12" s="1"/>
  <c r="E38" i="12"/>
  <c r="E41" i="12" s="1"/>
  <c r="D38" i="12"/>
  <c r="D39" i="12" s="1"/>
  <c r="C38" i="12"/>
  <c r="C41" i="12" s="1"/>
  <c r="B38" i="12"/>
  <c r="B39" i="12" s="1"/>
  <c r="F5" i="12"/>
  <c r="F6" i="12" s="1"/>
  <c r="E5" i="12"/>
  <c r="E8" i="12" s="1"/>
  <c r="D5" i="12"/>
  <c r="D6" i="12" s="1"/>
  <c r="C5" i="12"/>
  <c r="C8" i="12" s="1"/>
  <c r="B5" i="12"/>
  <c r="B6" i="12" s="1"/>
  <c r="G84" i="10"/>
  <c r="F84" i="10"/>
  <c r="E84" i="10"/>
  <c r="D84" i="10"/>
  <c r="D86" i="10" s="1"/>
  <c r="C84" i="10"/>
  <c r="C86" i="10" s="1"/>
  <c r="C18" i="10"/>
  <c r="D18" i="10"/>
  <c r="E18" i="10"/>
  <c r="F18" i="10"/>
  <c r="G18" i="10"/>
  <c r="D14" i="10"/>
  <c r="E14" i="10"/>
  <c r="F14" i="10"/>
  <c r="G14" i="10"/>
  <c r="C14" i="10"/>
  <c r="G86" i="10"/>
  <c r="E86" i="10"/>
  <c r="F86" i="10"/>
  <c r="D79" i="10"/>
  <c r="E79" i="10"/>
  <c r="F79" i="10"/>
  <c r="G79" i="10"/>
  <c r="C79" i="10"/>
  <c r="D26" i="12" l="1"/>
  <c r="B26" i="12"/>
  <c r="F26" i="12"/>
  <c r="B31" i="12"/>
  <c r="B32" i="12" s="1"/>
  <c r="B29" i="12"/>
  <c r="D31" i="12"/>
  <c r="D32" i="12" s="1"/>
  <c r="D29" i="12"/>
  <c r="F31" i="12"/>
  <c r="F32" i="12" s="1"/>
  <c r="F29" i="12"/>
  <c r="C28" i="12"/>
  <c r="E28" i="12"/>
  <c r="C44" i="12"/>
  <c r="C45" i="12" s="1"/>
  <c r="C42" i="12"/>
  <c r="E44" i="12"/>
  <c r="E45" i="12" s="1"/>
  <c r="E42" i="12"/>
  <c r="C39" i="12"/>
  <c r="E39" i="12"/>
  <c r="B41" i="12"/>
  <c r="D41" i="12"/>
  <c r="F41" i="12"/>
  <c r="C12" i="12"/>
  <c r="C9" i="12"/>
  <c r="E12" i="12"/>
  <c r="E9" i="12"/>
  <c r="C6" i="12"/>
  <c r="E6" i="12"/>
  <c r="B8" i="12"/>
  <c r="D8" i="12"/>
  <c r="F8" i="12"/>
  <c r="D53" i="10"/>
  <c r="E29" i="12" l="1"/>
  <c r="E31" i="12"/>
  <c r="E32" i="12" s="1"/>
  <c r="C29" i="12"/>
  <c r="C31" i="12"/>
  <c r="C32" i="12" s="1"/>
  <c r="F42" i="12"/>
  <c r="F44" i="12"/>
  <c r="F45" i="12" s="1"/>
  <c r="D42" i="12"/>
  <c r="D44" i="12"/>
  <c r="D45" i="12" s="1"/>
  <c r="B42" i="12"/>
  <c r="B44" i="12"/>
  <c r="B45" i="12" s="1"/>
  <c r="B9" i="12"/>
  <c r="B12" i="12"/>
  <c r="D9" i="12"/>
  <c r="D12" i="12"/>
  <c r="C15" i="12"/>
  <c r="C16" i="12"/>
  <c r="C13" i="12"/>
  <c r="F9" i="12"/>
  <c r="F12" i="12"/>
  <c r="E15" i="12"/>
  <c r="E16" i="12"/>
  <c r="E13" i="12"/>
  <c r="E62" i="10"/>
  <c r="F62" i="10"/>
  <c r="G62" i="10"/>
  <c r="C62" i="10"/>
  <c r="D57" i="10"/>
  <c r="E57" i="10"/>
  <c r="F57" i="10"/>
  <c r="G57" i="10"/>
  <c r="C57" i="10"/>
  <c r="F16" i="12" l="1"/>
  <c r="F13" i="12"/>
  <c r="F15" i="12"/>
  <c r="D16" i="12"/>
  <c r="D13" i="12"/>
  <c r="D15" i="12"/>
  <c r="B16" i="12"/>
  <c r="B13" i="12"/>
  <c r="B15" i="12"/>
  <c r="E63" i="10"/>
  <c r="D46" i="10"/>
  <c r="E46" i="10"/>
  <c r="F46" i="10"/>
  <c r="G46" i="10"/>
  <c r="G63" i="10" s="1"/>
  <c r="C46" i="10"/>
  <c r="E51" i="10"/>
  <c r="F51" i="10"/>
  <c r="F52" i="10" s="1"/>
  <c r="G51" i="10"/>
  <c r="E52" i="10"/>
  <c r="G52" i="10"/>
  <c r="E53" i="10"/>
  <c r="F53" i="10"/>
  <c r="F54" i="10" s="1"/>
  <c r="G53" i="10"/>
  <c r="E54" i="10"/>
  <c r="E55" i="10" s="1"/>
  <c r="G54" i="10"/>
  <c r="G55" i="10" s="1"/>
  <c r="E56" i="10"/>
  <c r="F56" i="10"/>
  <c r="G56" i="10"/>
  <c r="E58" i="10"/>
  <c r="F58" i="10"/>
  <c r="G58" i="10"/>
  <c r="F63" i="10" l="1"/>
  <c r="F55" i="10"/>
  <c r="L38" i="4"/>
  <c r="N54" i="4"/>
  <c r="L54" i="4"/>
  <c r="N38" i="4"/>
  <c r="N33" i="4"/>
  <c r="N37" i="4" s="1"/>
  <c r="L33" i="4"/>
  <c r="L10" i="4"/>
  <c r="L9" i="4"/>
  <c r="N10" i="4"/>
  <c r="N9" i="4"/>
  <c r="F41" i="4"/>
  <c r="D41" i="4"/>
  <c r="F25" i="4"/>
  <c r="D25" i="4"/>
  <c r="L57" i="4"/>
  <c r="L62" i="4" s="1"/>
  <c r="L67" i="4"/>
  <c r="N57" i="4"/>
  <c r="N62" i="4" s="1"/>
  <c r="N58" i="4"/>
  <c r="L58" i="4"/>
  <c r="N22" i="4"/>
  <c r="L22" i="4"/>
  <c r="L17" i="4"/>
  <c r="N17" i="4"/>
  <c r="N6" i="4"/>
  <c r="N5" i="4"/>
  <c r="N13" i="4" s="1"/>
  <c r="L6" i="4"/>
  <c r="L14" i="4" s="1"/>
  <c r="L5" i="4"/>
  <c r="L13" i="4" s="1"/>
  <c r="F37" i="4"/>
  <c r="D37" i="4"/>
  <c r="F34" i="4"/>
  <c r="D34" i="4"/>
  <c r="F26" i="4"/>
  <c r="D26" i="4"/>
  <c r="F14" i="4"/>
  <c r="N26" i="4" s="1"/>
  <c r="D14" i="4"/>
  <c r="L26" i="4" s="1"/>
  <c r="F10" i="4"/>
  <c r="D10" i="4"/>
  <c r="D54" i="10" l="1"/>
  <c r="D62" i="10" s="1"/>
  <c r="C53" i="10"/>
  <c r="C54" i="10" s="1"/>
  <c r="D51" i="10"/>
  <c r="D52" i="10" s="1"/>
  <c r="C51" i="10"/>
  <c r="C52" i="10" s="1"/>
  <c r="O45" i="10"/>
  <c r="O43" i="10"/>
  <c r="O42" i="10"/>
  <c r="O41" i="10"/>
  <c r="O40" i="10"/>
  <c r="O39" i="10"/>
  <c r="O38" i="10"/>
  <c r="N45" i="10"/>
  <c r="N43" i="10"/>
  <c r="N42" i="10"/>
  <c r="N41" i="10"/>
  <c r="N40" i="10"/>
  <c r="N39" i="10"/>
  <c r="N38" i="10"/>
  <c r="M45" i="10"/>
  <c r="M43" i="10"/>
  <c r="M42" i="10"/>
  <c r="M41" i="10"/>
  <c r="M40" i="10"/>
  <c r="M39" i="10"/>
  <c r="M38" i="10"/>
  <c r="L45" i="10"/>
  <c r="L43" i="10"/>
  <c r="L42" i="10"/>
  <c r="L41" i="10"/>
  <c r="L40" i="10"/>
  <c r="L39" i="10"/>
  <c r="L38" i="10"/>
  <c r="K45" i="10"/>
  <c r="K43" i="10"/>
  <c r="K42" i="10"/>
  <c r="K41" i="10"/>
  <c r="K40" i="10"/>
  <c r="K39" i="10"/>
  <c r="K38" i="10"/>
  <c r="D44" i="10"/>
  <c r="L46" i="10" s="1"/>
  <c r="C44" i="10"/>
  <c r="K44" i="10" s="1"/>
  <c r="D47" i="10"/>
  <c r="L47" i="10" s="1"/>
  <c r="C47" i="10"/>
  <c r="K47" i="10" s="1"/>
  <c r="G47" i="10"/>
  <c r="F47" i="10"/>
  <c r="E47" i="10"/>
  <c r="M47" i="10" s="1"/>
  <c r="E44" i="10"/>
  <c r="F44" i="10"/>
  <c r="N44" i="10" s="1"/>
  <c r="G44" i="10"/>
  <c r="E31" i="10"/>
  <c r="F31" i="10"/>
  <c r="D31" i="10"/>
  <c r="C31" i="10"/>
  <c r="O24" i="10"/>
  <c r="N24" i="10"/>
  <c r="N31" i="10" s="1"/>
  <c r="M24" i="10"/>
  <c r="M31" i="10" s="1"/>
  <c r="L24" i="10"/>
  <c r="L31" i="10" s="1"/>
  <c r="K24" i="10"/>
  <c r="K31" i="10" s="1"/>
  <c r="M44" i="10" l="1"/>
  <c r="F33" i="4"/>
  <c r="N21" i="4" s="1"/>
  <c r="F6" i="4"/>
  <c r="C55" i="10"/>
  <c r="D33" i="4"/>
  <c r="L21" i="4" s="1"/>
  <c r="D6" i="4"/>
  <c r="O47" i="10"/>
  <c r="D55" i="10"/>
  <c r="O44" i="10"/>
  <c r="N47" i="10"/>
  <c r="M46" i="10"/>
  <c r="K46" i="10"/>
  <c r="C56" i="10"/>
  <c r="D56" i="10"/>
  <c r="L44" i="10"/>
  <c r="D68" i="10" l="1"/>
  <c r="E68" i="10"/>
  <c r="F68" i="10"/>
  <c r="C68" i="10"/>
  <c r="G68" i="10"/>
  <c r="O46" i="10"/>
  <c r="N46" i="10"/>
  <c r="O21" i="10" l="1"/>
  <c r="O16" i="10"/>
  <c r="O13" i="10"/>
  <c r="O9" i="10"/>
  <c r="O5" i="10"/>
  <c r="O4" i="10"/>
  <c r="N21" i="10"/>
  <c r="N16" i="10"/>
  <c r="N13" i="10"/>
  <c r="N9" i="10"/>
  <c r="N5" i="10"/>
  <c r="N4" i="10"/>
  <c r="M21" i="10"/>
  <c r="M16" i="10"/>
  <c r="M13" i="10"/>
  <c r="M9" i="10"/>
  <c r="M5" i="10"/>
  <c r="M4" i="10"/>
  <c r="L21" i="10"/>
  <c r="L16" i="10"/>
  <c r="L13" i="10"/>
  <c r="L9" i="10"/>
  <c r="L5" i="10"/>
  <c r="K21" i="10"/>
  <c r="K16" i="10"/>
  <c r="K13" i="10"/>
  <c r="K9" i="10"/>
  <c r="K5" i="10"/>
  <c r="K4" i="10"/>
  <c r="C6" i="10"/>
  <c r="E6" i="10"/>
  <c r="D6" i="10"/>
  <c r="F6" i="10"/>
  <c r="G6" i="10"/>
  <c r="N53" i="4" l="1"/>
  <c r="F9" i="4"/>
  <c r="D9" i="4"/>
  <c r="L53" i="4"/>
  <c r="G8" i="10"/>
  <c r="O8" i="10" s="1"/>
  <c r="L14" i="10"/>
  <c r="M14" i="10"/>
  <c r="F10" i="10"/>
  <c r="C8" i="10"/>
  <c r="K8" i="10" s="1"/>
  <c r="G17" i="10"/>
  <c r="O17" i="10" s="1"/>
  <c r="F59" i="10"/>
  <c r="K6" i="10"/>
  <c r="F17" i="10"/>
  <c r="N17" i="10" s="1"/>
  <c r="C10" i="10"/>
  <c r="L6" i="10"/>
  <c r="O14" i="10"/>
  <c r="F11" i="10"/>
  <c r="N11" i="10" s="1"/>
  <c r="F23" i="10"/>
  <c r="F25" i="10" s="1"/>
  <c r="G15" i="10"/>
  <c r="O15" i="10" s="1"/>
  <c r="D8" i="10"/>
  <c r="L8" i="10" s="1"/>
  <c r="N6" i="10"/>
  <c r="D10" i="10"/>
  <c r="M6" i="10"/>
  <c r="G10" i="10"/>
  <c r="G59" i="10"/>
  <c r="O6" i="10"/>
  <c r="E8" i="10"/>
  <c r="M8" i="10" s="1"/>
  <c r="D17" i="10"/>
  <c r="L17" i="10" s="1"/>
  <c r="D15" i="10"/>
  <c r="L15" i="10" s="1"/>
  <c r="E59" i="10"/>
  <c r="E10" i="10"/>
  <c r="F8" i="10"/>
  <c r="N8" i="10" s="1"/>
  <c r="N50" i="4"/>
  <c r="L50" i="4"/>
  <c r="N49" i="4"/>
  <c r="L37" i="4"/>
  <c r="N34" i="4"/>
  <c r="L34" i="4"/>
  <c r="L45" i="4" s="1"/>
  <c r="L49" i="4" s="1"/>
  <c r="E15" i="10" l="1"/>
  <c r="M15" i="10" s="1"/>
  <c r="E17" i="10"/>
  <c r="M17" i="10" s="1"/>
  <c r="F26" i="10"/>
  <c r="L25" i="4"/>
  <c r="D5" i="4"/>
  <c r="D59" i="10"/>
  <c r="D65" i="10" s="1"/>
  <c r="D11" i="10"/>
  <c r="L11" i="10" s="1"/>
  <c r="E65" i="10"/>
  <c r="F5" i="4"/>
  <c r="N10" i="10"/>
  <c r="G28" i="10"/>
  <c r="G32" i="10" s="1"/>
  <c r="G33" i="10" s="1"/>
  <c r="F28" i="10"/>
  <c r="F32" i="10" s="1"/>
  <c r="F33" i="10" s="1"/>
  <c r="N25" i="10"/>
  <c r="L18" i="10"/>
  <c r="D28" i="10"/>
  <c r="D32" i="10" s="1"/>
  <c r="D33" i="10" s="1"/>
  <c r="N26" i="10"/>
  <c r="F15" i="10"/>
  <c r="N15" i="10" s="1"/>
  <c r="N14" i="10"/>
  <c r="M18" i="10"/>
  <c r="E28" i="10"/>
  <c r="E32" i="10" s="1"/>
  <c r="E33" i="10" s="1"/>
  <c r="C23" i="10"/>
  <c r="K10" i="10"/>
  <c r="C11" i="10"/>
  <c r="K11" i="10" s="1"/>
  <c r="E11" i="10"/>
  <c r="M11" i="10" s="1"/>
  <c r="E23" i="10"/>
  <c r="M10" i="10"/>
  <c r="K14" i="10"/>
  <c r="C17" i="10"/>
  <c r="K17" i="10" s="1"/>
  <c r="G19" i="10"/>
  <c r="O19" i="10" s="1"/>
  <c r="O18" i="10"/>
  <c r="G20" i="10"/>
  <c r="G60" i="10" s="1"/>
  <c r="G61" i="10" s="1"/>
  <c r="G23" i="10"/>
  <c r="G25" i="10" s="1"/>
  <c r="O10" i="10"/>
  <c r="G11" i="10"/>
  <c r="O11" i="10" s="1"/>
  <c r="F20" i="10"/>
  <c r="F60" i="10" s="1"/>
  <c r="F61" i="10" s="1"/>
  <c r="F19" i="10"/>
  <c r="N19" i="10" s="1"/>
  <c r="N18" i="10"/>
  <c r="D23" i="10"/>
  <c r="D25" i="10" s="1"/>
  <c r="D26" i="10" s="1"/>
  <c r="L10" i="10"/>
  <c r="N23" i="10"/>
  <c r="C15" i="10"/>
  <c r="K15" i="10" s="1"/>
  <c r="D19" i="10"/>
  <c r="L19" i="10" s="1"/>
  <c r="D20" i="10"/>
  <c r="E19" i="10"/>
  <c r="M19" i="10" s="1"/>
  <c r="E20" i="10"/>
  <c r="E60" i="10" s="1"/>
  <c r="E61" i="10" s="1"/>
  <c r="L41" i="4"/>
  <c r="N18" i="4"/>
  <c r="O17" i="4" s="1"/>
  <c r="L18" i="4"/>
  <c r="L46" i="4"/>
  <c r="F45" i="4"/>
  <c r="D45" i="4"/>
  <c r="D46" i="4"/>
  <c r="F46" i="4"/>
  <c r="D64" i="10" l="1"/>
  <c r="G26" i="10"/>
  <c r="N25" i="4"/>
  <c r="E64" i="10"/>
  <c r="C59" i="10"/>
  <c r="C65" i="10" s="1"/>
  <c r="M28" i="10"/>
  <c r="M32" i="10" s="1"/>
  <c r="M33" i="10" s="1"/>
  <c r="O28" i="10"/>
  <c r="O32" i="10" s="1"/>
  <c r="O33" i="10" s="1"/>
  <c r="L28" i="10"/>
  <c r="L32" i="10" s="1"/>
  <c r="L33" i="10" s="1"/>
  <c r="N28" i="10"/>
  <c r="N32" i="10" s="1"/>
  <c r="N33" i="10" s="1"/>
  <c r="F66" i="10"/>
  <c r="F67" i="10"/>
  <c r="G65" i="10"/>
  <c r="G64" i="10"/>
  <c r="F64" i="10"/>
  <c r="F65" i="10"/>
  <c r="N20" i="10"/>
  <c r="L20" i="10"/>
  <c r="D60" i="10"/>
  <c r="O20" i="10"/>
  <c r="M20" i="10"/>
  <c r="L25" i="10"/>
  <c r="D58" i="10"/>
  <c r="O25" i="10"/>
  <c r="K18" i="10"/>
  <c r="K23" i="10" s="1"/>
  <c r="C28" i="10"/>
  <c r="C32" i="10" s="1"/>
  <c r="C33" i="10" s="1"/>
  <c r="M23" i="10"/>
  <c r="E25" i="10"/>
  <c r="E26" i="10" s="1"/>
  <c r="C25" i="10"/>
  <c r="C26" i="10" s="1"/>
  <c r="L23" i="10"/>
  <c r="O23" i="10"/>
  <c r="C20" i="10"/>
  <c r="C19" i="10"/>
  <c r="K19" i="10" s="1"/>
  <c r="M17" i="4"/>
  <c r="O5" i="4"/>
  <c r="O9" i="4"/>
  <c r="M9" i="4"/>
  <c r="N14" i="4"/>
  <c r="M5" i="4"/>
  <c r="M13" i="4"/>
  <c r="N61" i="4"/>
  <c r="L61" i="4"/>
  <c r="M61" i="4" s="1"/>
  <c r="K61" i="4"/>
  <c r="O57" i="4"/>
  <c r="O53" i="4"/>
  <c r="M53" i="4"/>
  <c r="O49" i="4"/>
  <c r="M49" i="4"/>
  <c r="N46" i="4"/>
  <c r="N45" i="4"/>
  <c r="M45" i="4"/>
  <c r="G45" i="4"/>
  <c r="E45" i="4"/>
  <c r="O37" i="4"/>
  <c r="M37" i="4"/>
  <c r="M33" i="4"/>
  <c r="C64" i="10" l="1"/>
  <c r="O13" i="4"/>
  <c r="O26" i="10"/>
  <c r="D63" i="10"/>
  <c r="D66" i="10"/>
  <c r="D67" i="10"/>
  <c r="H61" i="10"/>
  <c r="C58" i="10"/>
  <c r="K28" i="10"/>
  <c r="K32" i="10" s="1"/>
  <c r="K33" i="10" s="1"/>
  <c r="L26" i="10"/>
  <c r="O45" i="4"/>
  <c r="G66" i="10"/>
  <c r="G67" i="10"/>
  <c r="D61" i="10"/>
  <c r="K20" i="10"/>
  <c r="C60" i="10"/>
  <c r="M25" i="10"/>
  <c r="K25" i="10"/>
  <c r="E25" i="4"/>
  <c r="G25" i="4"/>
  <c r="O61" i="4"/>
  <c r="O33" i="4"/>
  <c r="M57" i="4"/>
  <c r="C63" i="10" l="1"/>
  <c r="C66" i="10"/>
  <c r="C67" i="10"/>
  <c r="M26" i="10"/>
  <c r="E66" i="10"/>
  <c r="E67" i="10"/>
  <c r="K26" i="10"/>
  <c r="C61" i="10"/>
  <c r="D17" i="4" l="1"/>
  <c r="E9" i="4"/>
  <c r="D22" i="4" s="1"/>
  <c r="L42" i="4"/>
  <c r="M41" i="4" s="1"/>
  <c r="D18" i="4"/>
  <c r="N42" i="4" l="1"/>
  <c r="O41" i="4" s="1"/>
  <c r="F18" i="4"/>
  <c r="D13" i="4"/>
  <c r="E13" i="4" s="1"/>
  <c r="F17" i="4"/>
  <c r="G9" i="4"/>
  <c r="F22" i="4" s="1"/>
  <c r="E17" i="4"/>
  <c r="M25" i="4"/>
  <c r="G17" i="4" l="1"/>
  <c r="O25" i="4" l="1"/>
  <c r="O21" i="4" l="1"/>
  <c r="G5" i="4"/>
  <c r="F21" i="4" s="1"/>
  <c r="G21" i="4" s="1"/>
  <c r="E5" i="4"/>
  <c r="D21" i="4" s="1"/>
  <c r="E21" i="4" s="1"/>
  <c r="F13" i="4"/>
  <c r="G13" i="4" s="1"/>
  <c r="M21" i="4"/>
  <c r="D38" i="4"/>
  <c r="E33" i="4"/>
  <c r="F38" i="4" l="1"/>
  <c r="G33" i="4"/>
  <c r="D42" i="4"/>
  <c r="E41" i="4" s="1"/>
  <c r="E37" i="4"/>
  <c r="F42" i="4" l="1"/>
  <c r="G41" i="4" s="1"/>
  <c r="G37" i="4"/>
  <c r="L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17" authorId="0" shapeId="0" xr:uid="{00000000-0006-0000-0100-000001000000}">
      <text>
        <r>
          <rPr>
            <sz val="10"/>
            <color rgb="FF000000"/>
            <rFont val="Tahoma"/>
            <family val="2"/>
          </rPr>
          <t xml:space="preserve">Autor:
</t>
        </r>
        <r>
          <rPr>
            <sz val="10"/>
            <color rgb="FF000000"/>
            <rFont val="Tahoma"/>
            <family val="2"/>
          </rPr>
          <t>Inversiones Transitorias Activo Corriente 2015</t>
        </r>
      </text>
    </comment>
  </commentList>
</comments>
</file>

<file path=xl/sharedStrings.xml><?xml version="1.0" encoding="utf-8"?>
<sst xmlns="http://schemas.openxmlformats.org/spreadsheetml/2006/main" count="337" uniqueCount="173">
  <si>
    <t>Ventas</t>
  </si>
  <si>
    <t>Impuestos</t>
  </si>
  <si>
    <t>Estado de situación patrimonial</t>
  </si>
  <si>
    <t>EBITDA</t>
  </si>
  <si>
    <t>Ratios Financieros</t>
  </si>
  <si>
    <t>Nombre</t>
  </si>
  <si>
    <t>Observaciones</t>
  </si>
  <si>
    <t>Fórmula</t>
  </si>
  <si>
    <t>Refleja el rendimiento de la inversión propia, muestra el retorno para los dueños</t>
  </si>
  <si>
    <t>Relaciona los ACT CORR que se realizarán p/afrontar los PAS dentro del plazo del año.</t>
  </si>
  <si>
    <t>Rentabilidad del Patrimonio Neto</t>
  </si>
  <si>
    <t xml:space="preserve">Resultado Neto </t>
  </si>
  <si>
    <t>Liquidez Corriente</t>
  </si>
  <si>
    <t>Activo Corriente</t>
  </si>
  <si>
    <t>Patrimonio Neto Promedio</t>
  </si>
  <si>
    <t>Pasivo Corriente</t>
  </si>
  <si>
    <t>Refleja el rendimiento que posee el uso de la totalidad de la estructura de inversión</t>
  </si>
  <si>
    <t>Plazo de cobranzas y pagos (plazo de cobro / plazo de pago)</t>
  </si>
  <si>
    <t>Muestra cuántos día se tarde en cobrar a loc lientes y pagar a los proveedores</t>
  </si>
  <si>
    <t>Rentabilidad de la Inversión Total (ROA)</t>
  </si>
  <si>
    <t>Resultado Operativo</t>
  </si>
  <si>
    <t>(Creditos por ventas/ventas)*365</t>
  </si>
  <si>
    <t>Activo Total Promedio</t>
  </si>
  <si>
    <t>(Deudas comerciales/CMV)*365</t>
  </si>
  <si>
    <t>Refleja cuantos $ quedan por cada $100 de venta</t>
  </si>
  <si>
    <t>Relaciona los ACT CORR más liquidos que se realizarán p/afrontar los pasivos dentro del plazo</t>
  </si>
  <si>
    <t>Margen Neto Sobre Ventas</t>
  </si>
  <si>
    <t>Prueba Acida</t>
  </si>
  <si>
    <t>Activo Corriente - Bienes de Cambio</t>
  </si>
  <si>
    <t>Permite conocer la composición del nível de rentabilidad</t>
  </si>
  <si>
    <t>Representa cuánto de la liquidez actual  se puede destinar a cancelar los pasivos corrientes</t>
  </si>
  <si>
    <t>Dupont</t>
  </si>
  <si>
    <t>Resultado Operativo * Ventas</t>
  </si>
  <si>
    <t>Flujo de Fondos</t>
  </si>
  <si>
    <t>Caja y Bancos + Inversiones Transitorias</t>
  </si>
  <si>
    <t>Ventas * Activo Promedio</t>
  </si>
  <si>
    <t>Mide el efecto de utilizar recursos de terceros en nuestra estructura de financiación</t>
  </si>
  <si>
    <t>Muestra que grado de inversión fija es cubierta con recursos propios</t>
  </si>
  <si>
    <t>Apalancamiento</t>
  </si>
  <si>
    <t>Financiación de la Inmovilización</t>
  </si>
  <si>
    <t>Patrimonio Neto</t>
  </si>
  <si>
    <t>Rentabilidad de la Inversión total</t>
  </si>
  <si>
    <t>Activo No corriente</t>
  </si>
  <si>
    <t>Refleja el costo porcentual del financiamiento de terceros</t>
  </si>
  <si>
    <t>Muestra qué porcentaje de los ingresos generados por el negocio no se destinan a cubrir los costos propios del mismo</t>
  </si>
  <si>
    <t>Tasa de Financiación Promedio</t>
  </si>
  <si>
    <t>Resultados Generados Por Pasivos *</t>
  </si>
  <si>
    <t>Margen de EBITDA</t>
  </si>
  <si>
    <t>Pasivo Promedio</t>
  </si>
  <si>
    <t>Ratios Patrimoniales</t>
  </si>
  <si>
    <t>Ratios de Actividad</t>
  </si>
  <si>
    <t>Muestra el grado de tenencia o propiedad (cuanto soy dueño del activo que tengo)</t>
  </si>
  <si>
    <t>Del total de ventas, cuánto no se cobro</t>
  </si>
  <si>
    <t>Solvencia</t>
  </si>
  <si>
    <t>Plazo Medio de Cobranzas</t>
  </si>
  <si>
    <t>Créditos</t>
  </si>
  <si>
    <t>Activo</t>
  </si>
  <si>
    <t>Muestra el grado en que la empresa está endeudada</t>
  </si>
  <si>
    <t>Muestra la rotación de la cartera en el año</t>
  </si>
  <si>
    <t>Endeudamiento</t>
  </si>
  <si>
    <t>Pasivo</t>
  </si>
  <si>
    <t>Rotación de Cartera</t>
  </si>
  <si>
    <t>Relaciona los activos fijos con la inversión propia (cómo su nombre lo dice, cuanta plata tengo congelada de todo lo que invertí)</t>
  </si>
  <si>
    <t>Muestra la rotación del activo total</t>
  </si>
  <si>
    <t>Grado de Inmovilización</t>
  </si>
  <si>
    <t>Bienes de Uso</t>
  </si>
  <si>
    <t>Rotación de Activo</t>
  </si>
  <si>
    <t>Participación de los acreedores en los activos</t>
  </si>
  <si>
    <t>Muestra la rotación del activo corriente</t>
  </si>
  <si>
    <t>Endeudamiento II (sobre el activo)</t>
  </si>
  <si>
    <t>Rotación de Activo corriente</t>
  </si>
  <si>
    <t>Muestra la rotación del activo no corriente</t>
  </si>
  <si>
    <t xml:space="preserve">* Los valores que se sutieron en cuentas son los siguientes (nota 5.14): </t>
  </si>
  <si>
    <t xml:space="preserve">Intereses por Préstamos Bancarios y/o Financieros
</t>
  </si>
  <si>
    <t>Rotación de Activo no corriente</t>
  </si>
  <si>
    <t>Intereses por subvención de tasa préstamo del gobierno</t>
  </si>
  <si>
    <t>Activo no Corriente</t>
  </si>
  <si>
    <t>Otros intereses sobre pasivos</t>
  </si>
  <si>
    <t>Rotación de ctas por cobrar</t>
  </si>
  <si>
    <t>ventas netas</t>
  </si>
  <si>
    <t>Cuentas por cobrar brutas</t>
  </si>
  <si>
    <t>Rotación de inventarios</t>
  </si>
  <si>
    <t>inventarios promedio * 365</t>
  </si>
  <si>
    <t>(dias)</t>
  </si>
  <si>
    <t>costo de ventas</t>
  </si>
  <si>
    <t>(veces)</t>
  </si>
  <si>
    <t>inventarios promedio</t>
  </si>
  <si>
    <t>CAPUTO 2016</t>
  </si>
  <si>
    <t>CAPUTO 2015</t>
  </si>
  <si>
    <t>RATIOS / TENDENCIA</t>
  </si>
  <si>
    <t>FY 2015</t>
  </si>
  <si>
    <t>FY  2016</t>
  </si>
  <si>
    <t>Ingreso por Ventas</t>
  </si>
  <si>
    <t>Costo de Ventas</t>
  </si>
  <si>
    <t>Ganancia Bruta /Resultado Bruto</t>
  </si>
  <si>
    <t xml:space="preserve">Margen Bruto </t>
  </si>
  <si>
    <t>Gasto Operativos (OPEX)</t>
  </si>
  <si>
    <t>Resultado Operativo /EBIT</t>
  </si>
  <si>
    <t>Margen Operativo</t>
  </si>
  <si>
    <t>Resultado antes de Impuestos</t>
  </si>
  <si>
    <t>Margen antes de Impuestos</t>
  </si>
  <si>
    <t>Tasa impositiva Efectiva</t>
  </si>
  <si>
    <t>Resultado Neto/Ganancia</t>
  </si>
  <si>
    <t>Margen Neto/Ganancia</t>
  </si>
  <si>
    <t>BPA</t>
  </si>
  <si>
    <t>Q de Acciones</t>
  </si>
  <si>
    <t>Intereses Financieros</t>
  </si>
  <si>
    <t>Impuesto a las Ganancias</t>
  </si>
  <si>
    <t>Depreciacion y Amortizaciones</t>
  </si>
  <si>
    <t>Margen EBITDA</t>
  </si>
  <si>
    <t>Costos Financieros Netos</t>
  </si>
  <si>
    <t>ARS en Miles de Pesos</t>
  </si>
  <si>
    <t>FY 2014</t>
  </si>
  <si>
    <t>FY 2013</t>
  </si>
  <si>
    <t>FY 2012</t>
  </si>
  <si>
    <t>Tipo de Cambio BCRA*</t>
  </si>
  <si>
    <t>Resultado Operativo EBIT</t>
  </si>
  <si>
    <t>Resultado Neto/ Ganancia</t>
  </si>
  <si>
    <t>Depreciaciones y Amortizaciones</t>
  </si>
  <si>
    <t xml:space="preserve">U$S en Miles </t>
  </si>
  <si>
    <t>U$S en Miles</t>
  </si>
  <si>
    <t>Activos Totales</t>
  </si>
  <si>
    <t>Activos Corrientes</t>
  </si>
  <si>
    <t>Pasivos Totales</t>
  </si>
  <si>
    <t>Pasivos Corrientes</t>
  </si>
  <si>
    <t>Deuda de Corto Plazo</t>
  </si>
  <si>
    <t xml:space="preserve">Deuda de Largo Plazo </t>
  </si>
  <si>
    <t>Deuda Financiera Total</t>
  </si>
  <si>
    <t>Cash &amp; Equivalents</t>
  </si>
  <si>
    <t>Deuda Total Neta</t>
  </si>
  <si>
    <t xml:space="preserve">Patrimonio Neto </t>
  </si>
  <si>
    <t>Precio</t>
  </si>
  <si>
    <t>Precio en Dolares</t>
  </si>
  <si>
    <t>Capitalizacion de Mercado</t>
  </si>
  <si>
    <t>Deuda Neta</t>
  </si>
  <si>
    <t>Ganancia Neta</t>
  </si>
  <si>
    <t>P/E</t>
  </si>
  <si>
    <t>EV</t>
  </si>
  <si>
    <t>EV/EBITDA</t>
  </si>
  <si>
    <t>ROA</t>
  </si>
  <si>
    <t>ROE</t>
  </si>
  <si>
    <t>Deuda Neta / EBITDA</t>
  </si>
  <si>
    <t>EV/Sales</t>
  </si>
  <si>
    <t xml:space="preserve">Book Value </t>
  </si>
  <si>
    <t>Book Value Per Share</t>
  </si>
  <si>
    <t>P/Book Value</t>
  </si>
  <si>
    <t>Beta</t>
  </si>
  <si>
    <t>Negativo es Positivo en Cash</t>
  </si>
  <si>
    <t>Deuda Financiera Total/ EBITDA</t>
  </si>
  <si>
    <t>Capitalizacion de Mercado en Dólares</t>
  </si>
  <si>
    <t>Resultados generados por pasivos</t>
  </si>
  <si>
    <t>*Costo de Financiamiento promedio</t>
  </si>
  <si>
    <t>Creditos por ventas</t>
  </si>
  <si>
    <t>Deudas Comerciales</t>
  </si>
  <si>
    <t>CMV</t>
  </si>
  <si>
    <t>Cuentas por cobraspromedio</t>
  </si>
  <si>
    <t>Total</t>
  </si>
  <si>
    <t>ARS EN MILES DE PESOS</t>
  </si>
  <si>
    <t>Ingreso por ventas</t>
  </si>
  <si>
    <t>Costo de ventas</t>
  </si>
  <si>
    <t>Ganancia bruta /Resultado bruto</t>
  </si>
  <si>
    <t>Resultado operativo /EBIT</t>
  </si>
  <si>
    <t>Costos financieros netos</t>
  </si>
  <si>
    <t>Resultado antes de impuestos</t>
  </si>
  <si>
    <t>Margen antes de impuestos</t>
  </si>
  <si>
    <t xml:space="preserve">Margen bruto </t>
  </si>
  <si>
    <t>Gasto operativos (OPEX)</t>
  </si>
  <si>
    <t>Margen operativo</t>
  </si>
  <si>
    <t>Caja y equivalentes</t>
  </si>
  <si>
    <t>Deuda financiera neta</t>
  </si>
  <si>
    <t>Deuda financiera total</t>
  </si>
  <si>
    <t>Capitalización de mercado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</si>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</sst>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  <numFmt numFmtId="168" formatCode="#,##0.0000"/>
    <numFmt numFmtId="169" formatCode="#,##0.000"/>
    <numFmt numFmtId="170" formatCode="#,###.00\X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omic Sans MS"/>
      <family val="4"/>
    </font>
    <font>
      <b/>
      <sz val="8.5"/>
      <name val="Comic Sans MS"/>
      <family val="4"/>
    </font>
    <font>
      <sz val="7"/>
      <name val="Comic Sans MS"/>
      <family val="4"/>
    </font>
    <font>
      <sz val="8.5"/>
      <name val="Comic Sans MS"/>
      <family val="4"/>
    </font>
    <font>
      <sz val="6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b/>
      <sz val="8.5"/>
      <color theme="0"/>
      <name val="Comic Sans MS"/>
      <family val="4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 applyBorder="1"/>
    <xf numFmtId="166" fontId="1" fillId="0" borderId="0" xfId="0" applyNumberFormat="1" applyFont="1" applyBorder="1"/>
    <xf numFmtId="166" fontId="2" fillId="0" borderId="0" xfId="0" applyNumberFormat="1" applyFont="1" applyBorder="1"/>
    <xf numFmtId="166" fontId="1" fillId="0" borderId="2" xfId="0" applyNumberFormat="1" applyFont="1" applyBorder="1"/>
    <xf numFmtId="0" fontId="2" fillId="0" borderId="0" xfId="0" applyFont="1" applyBorder="1"/>
    <xf numFmtId="166" fontId="4" fillId="0" borderId="0" xfId="0" applyNumberFormat="1" applyFont="1" applyBorder="1"/>
    <xf numFmtId="0" fontId="5" fillId="0" borderId="0" xfId="0" applyFont="1" applyBorder="1"/>
    <xf numFmtId="0" fontId="2" fillId="0" borderId="1" xfId="0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0" fontId="0" fillId="0" borderId="0" xfId="0" applyBorder="1"/>
    <xf numFmtId="9" fontId="2" fillId="0" borderId="0" xfId="1" applyFont="1" applyBorder="1"/>
    <xf numFmtId="166" fontId="8" fillId="0" borderId="5" xfId="0" applyNumberFormat="1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9" fontId="10" fillId="0" borderId="0" xfId="1" applyFont="1" applyAlignment="1">
      <alignment horizontal="left"/>
    </xf>
    <xf numFmtId="0" fontId="9" fillId="0" borderId="0" xfId="0" applyFont="1" applyBorder="1"/>
    <xf numFmtId="0" fontId="12" fillId="0" borderId="11" xfId="0" applyFont="1" applyBorder="1"/>
    <xf numFmtId="0" fontId="10" fillId="0" borderId="11" xfId="0" applyFont="1" applyFill="1" applyBorder="1"/>
    <xf numFmtId="0" fontId="12" fillId="0" borderId="12" xfId="0" applyFont="1" applyBorder="1"/>
    <xf numFmtId="0" fontId="10" fillId="0" borderId="9" xfId="0" applyFont="1" applyFill="1" applyBorder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2" fillId="0" borderId="15" xfId="0" applyFont="1" applyFill="1" applyBorder="1" applyAlignment="1">
      <alignment horizontal="center"/>
    </xf>
    <xf numFmtId="0" fontId="12" fillId="0" borderId="16" xfId="0" applyFont="1" applyBorder="1"/>
    <xf numFmtId="0" fontId="10" fillId="0" borderId="16" xfId="0" applyFont="1" applyFill="1" applyBorder="1"/>
    <xf numFmtId="0" fontId="12" fillId="0" borderId="17" xfId="0" applyFont="1" applyBorder="1"/>
    <xf numFmtId="3" fontId="9" fillId="0" borderId="0" xfId="0" applyNumberFormat="1" applyFont="1"/>
    <xf numFmtId="168" fontId="9" fillId="0" borderId="15" xfId="0" applyNumberFormat="1" applyFont="1" applyBorder="1" applyAlignment="1">
      <alignment horizontal="center"/>
    </xf>
    <xf numFmtId="0" fontId="14" fillId="0" borderId="0" xfId="0" applyFont="1"/>
    <xf numFmtId="0" fontId="10" fillId="0" borderId="0" xfId="0" applyFont="1" applyBorder="1"/>
    <xf numFmtId="3" fontId="9" fillId="0" borderId="0" xfId="0" applyNumberFormat="1" applyFont="1" applyBorder="1" applyAlignment="1">
      <alignment horizontal="center"/>
    </xf>
    <xf numFmtId="9" fontId="9" fillId="0" borderId="0" xfId="1" applyFont="1" applyBorder="1" applyAlignment="1">
      <alignment horizontal="center"/>
    </xf>
    <xf numFmtId="0" fontId="15" fillId="0" borderId="18" xfId="0" applyFont="1" applyFill="1" applyBorder="1"/>
    <xf numFmtId="0" fontId="16" fillId="0" borderId="19" xfId="0" applyFont="1" applyBorder="1"/>
    <xf numFmtId="0" fontId="15" fillId="0" borderId="20" xfId="0" applyFont="1" applyFill="1" applyBorder="1" applyAlignment="1"/>
    <xf numFmtId="0" fontId="16" fillId="0" borderId="21" xfId="0" applyFont="1" applyBorder="1" applyAlignment="1">
      <alignment horizontal="center"/>
    </xf>
    <xf numFmtId="0" fontId="15" fillId="0" borderId="20" xfId="0" applyFont="1" applyFill="1" applyBorder="1"/>
    <xf numFmtId="0" fontId="16" fillId="0" borderId="22" xfId="0" applyFont="1" applyBorder="1" applyAlignment="1">
      <alignment horizontal="center"/>
    </xf>
    <xf numFmtId="0" fontId="15" fillId="0" borderId="23" xfId="0" applyFont="1" applyFill="1" applyBorder="1"/>
    <xf numFmtId="0" fontId="16" fillId="0" borderId="24" xfId="0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4" fontId="9" fillId="0" borderId="0" xfId="0" applyNumberFormat="1" applyFont="1"/>
    <xf numFmtId="0" fontId="18" fillId="3" borderId="9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6" xfId="0" applyFont="1" applyFill="1" applyBorder="1" applyAlignment="1"/>
    <xf numFmtId="0" fontId="18" fillId="3" borderId="8" xfId="0" applyFont="1" applyFill="1" applyBorder="1" applyAlignment="1"/>
    <xf numFmtId="0" fontId="18" fillId="3" borderId="8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 applyAlignment="1">
      <alignment horizontal="left"/>
    </xf>
    <xf numFmtId="9" fontId="10" fillId="4" borderId="0" xfId="1" applyFont="1" applyFill="1" applyAlignment="1">
      <alignment horizontal="left"/>
    </xf>
    <xf numFmtId="0" fontId="9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11" xfId="0" applyFont="1" applyFill="1" applyBorder="1"/>
    <xf numFmtId="0" fontId="12" fillId="4" borderId="11" xfId="0" applyFont="1" applyFill="1" applyBorder="1"/>
    <xf numFmtId="0" fontId="10" fillId="4" borderId="9" xfId="0" applyFont="1" applyFill="1" applyBorder="1"/>
    <xf numFmtId="0" fontId="12" fillId="4" borderId="13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0" fillId="4" borderId="0" xfId="0" applyFont="1" applyFill="1" applyBorder="1"/>
    <xf numFmtId="3" fontId="9" fillId="4" borderId="0" xfId="0" applyNumberFormat="1" applyFont="1" applyFill="1" applyBorder="1" applyAlignment="1">
      <alignment horizontal="center"/>
    </xf>
    <xf numFmtId="9" fontId="9" fillId="4" borderId="0" xfId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9" fillId="4" borderId="16" xfId="0" applyFont="1" applyFill="1" applyBorder="1"/>
    <xf numFmtId="0" fontId="19" fillId="4" borderId="11" xfId="0" applyFont="1" applyFill="1" applyBorder="1"/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2" xfId="0" applyFont="1" applyFill="1" applyBorder="1"/>
    <xf numFmtId="0" fontId="12" fillId="4" borderId="17" xfId="0" applyFont="1" applyFill="1" applyBorder="1"/>
    <xf numFmtId="16" fontId="3" fillId="0" borderId="5" xfId="0" applyNumberFormat="1" applyFont="1" applyBorder="1"/>
    <xf numFmtId="0" fontId="8" fillId="0" borderId="6" xfId="0" applyFont="1" applyBorder="1"/>
    <xf numFmtId="165" fontId="2" fillId="0" borderId="0" xfId="0" applyNumberFormat="1" applyFont="1" applyBorder="1"/>
    <xf numFmtId="165" fontId="8" fillId="0" borderId="27" xfId="0" applyNumberFormat="1" applyFont="1" applyBorder="1"/>
    <xf numFmtId="0" fontId="20" fillId="5" borderId="0" xfId="0" applyFont="1" applyFill="1" applyBorder="1"/>
    <xf numFmtId="165" fontId="0" fillId="0" borderId="0" xfId="0" applyNumberFormat="1"/>
    <xf numFmtId="0" fontId="20" fillId="6" borderId="0" xfId="0" applyFont="1" applyFill="1" applyBorder="1"/>
    <xf numFmtId="167" fontId="20" fillId="6" borderId="0" xfId="2" applyNumberFormat="1" applyFont="1" applyFill="1" applyBorder="1"/>
    <xf numFmtId="0" fontId="3" fillId="0" borderId="4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0" fontId="21" fillId="7" borderId="0" xfId="0" applyFont="1" applyFill="1"/>
    <xf numFmtId="165" fontId="8" fillId="0" borderId="7" xfId="0" applyNumberFormat="1" applyFont="1" applyBorder="1"/>
    <xf numFmtId="0" fontId="0" fillId="8" borderId="0" xfId="0" applyFill="1"/>
    <xf numFmtId="0" fontId="1" fillId="0" borderId="0" xfId="0" applyFont="1" applyBorder="1"/>
    <xf numFmtId="166" fontId="1" fillId="8" borderId="0" xfId="0" applyNumberFormat="1" applyFont="1" applyFill="1" applyBorder="1"/>
    <xf numFmtId="166" fontId="1" fillId="8" borderId="2" xfId="0" applyNumberFormat="1" applyFont="1" applyFill="1" applyBorder="1"/>
    <xf numFmtId="10" fontId="20" fillId="5" borderId="0" xfId="1" applyNumberFormat="1" applyFont="1" applyFill="1" applyBorder="1"/>
    <xf numFmtId="10" fontId="2" fillId="0" borderId="0" xfId="1" applyNumberFormat="1" applyFont="1" applyBorder="1"/>
    <xf numFmtId="0" fontId="1" fillId="0" borderId="28" xfId="0" applyFont="1" applyBorder="1"/>
    <xf numFmtId="166" fontId="2" fillId="0" borderId="28" xfId="0" applyNumberFormat="1" applyFont="1" applyBorder="1"/>
    <xf numFmtId="0" fontId="1" fillId="0" borderId="29" xfId="0" applyFont="1" applyBorder="1"/>
    <xf numFmtId="166" fontId="2" fillId="0" borderId="29" xfId="0" applyNumberFormat="1" applyFont="1" applyBorder="1"/>
    <xf numFmtId="166" fontId="1" fillId="0" borderId="28" xfId="0" applyNumberFormat="1" applyFont="1" applyBorder="1"/>
    <xf numFmtId="0" fontId="1" fillId="0" borderId="30" xfId="0" applyFont="1" applyBorder="1"/>
    <xf numFmtId="166" fontId="1" fillId="0" borderId="31" xfId="0" applyNumberFormat="1" applyFont="1" applyBorder="1"/>
    <xf numFmtId="166" fontId="1" fillId="0" borderId="29" xfId="0" applyNumberFormat="1" applyFont="1" applyBorder="1"/>
    <xf numFmtId="0" fontId="2" fillId="0" borderId="29" xfId="0" applyFont="1" applyBorder="1"/>
    <xf numFmtId="0" fontId="3" fillId="9" borderId="32" xfId="0" applyFont="1" applyFill="1" applyBorder="1"/>
    <xf numFmtId="0" fontId="1" fillId="9" borderId="32" xfId="0" applyFont="1" applyFill="1" applyBorder="1"/>
    <xf numFmtId="2" fontId="1" fillId="9" borderId="32" xfId="0" applyNumberFormat="1" applyFont="1" applyFill="1" applyBorder="1"/>
    <xf numFmtId="167" fontId="1" fillId="9" borderId="32" xfId="0" applyNumberFormat="1" applyFont="1" applyFill="1" applyBorder="1"/>
    <xf numFmtId="166" fontId="2" fillId="9" borderId="32" xfId="0" applyNumberFormat="1" applyFont="1" applyFill="1" applyBorder="1"/>
    <xf numFmtId="165" fontId="1" fillId="9" borderId="32" xfId="0" applyNumberFormat="1" applyFont="1" applyFill="1" applyBorder="1"/>
    <xf numFmtId="170" fontId="3" fillId="9" borderId="32" xfId="0" applyNumberFormat="1" applyFont="1" applyFill="1" applyBorder="1"/>
    <xf numFmtId="0" fontId="3" fillId="9" borderId="33" xfId="0" applyFont="1" applyFill="1" applyBorder="1"/>
    <xf numFmtId="0" fontId="1" fillId="9" borderId="33" xfId="0" applyFont="1" applyFill="1" applyBorder="1"/>
    <xf numFmtId="165" fontId="2" fillId="9" borderId="33" xfId="0" applyNumberFormat="1" applyFont="1" applyFill="1" applyBorder="1"/>
    <xf numFmtId="0" fontId="1" fillId="0" borderId="6" xfId="0" applyFont="1" applyBorder="1"/>
    <xf numFmtId="0" fontId="3" fillId="0" borderId="7" xfId="0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4" fontId="1" fillId="0" borderId="0" xfId="2" applyFont="1" applyBorder="1"/>
    <xf numFmtId="165" fontId="2" fillId="0" borderId="10" xfId="0" applyNumberFormat="1" applyFont="1" applyBorder="1"/>
    <xf numFmtId="10" fontId="20" fillId="5" borderId="10" xfId="1" applyNumberFormat="1" applyFont="1" applyFill="1" applyBorder="1"/>
    <xf numFmtId="166" fontId="2" fillId="0" borderId="10" xfId="0" applyNumberFormat="1" applyFont="1" applyBorder="1"/>
    <xf numFmtId="166" fontId="2" fillId="0" borderId="36" xfId="0" applyNumberFormat="1" applyFont="1" applyBorder="1"/>
    <xf numFmtId="10" fontId="2" fillId="0" borderId="10" xfId="1" applyNumberFormat="1" applyFont="1" applyBorder="1"/>
    <xf numFmtId="9" fontId="2" fillId="0" borderId="10" xfId="1" applyFont="1" applyBorder="1"/>
    <xf numFmtId="167" fontId="20" fillId="6" borderId="10" xfId="2" applyNumberFormat="1" applyFont="1" applyFill="1" applyBorder="1"/>
    <xf numFmtId="165" fontId="8" fillId="0" borderId="8" xfId="0" applyNumberFormat="1" applyFont="1" applyBorder="1"/>
    <xf numFmtId="10" fontId="20" fillId="5" borderId="4" xfId="1" applyNumberFormat="1" applyFont="1" applyFill="1" applyBorder="1"/>
    <xf numFmtId="10" fontId="20" fillId="5" borderId="26" xfId="1" applyNumberFormat="1" applyFont="1" applyFill="1" applyBorder="1"/>
    <xf numFmtId="0" fontId="3" fillId="7" borderId="7" xfId="0" applyFont="1" applyFill="1" applyBorder="1" applyAlignment="1">
      <alignment horizontal="center"/>
    </xf>
    <xf numFmtId="166" fontId="3" fillId="7" borderId="8" xfId="0" applyNumberFormat="1" applyFont="1" applyFill="1" applyBorder="1" applyAlignment="1">
      <alignment horizontal="center"/>
    </xf>
    <xf numFmtId="16" fontId="3" fillId="7" borderId="5" xfId="0" applyNumberFormat="1" applyFont="1" applyFill="1" applyBorder="1" applyAlignment="1">
      <alignment horizontal="center"/>
    </xf>
    <xf numFmtId="16" fontId="3" fillId="7" borderId="34" xfId="0" applyNumberFormat="1" applyFont="1" applyFill="1" applyBorder="1" applyAlignment="1">
      <alignment horizontal="center"/>
    </xf>
    <xf numFmtId="0" fontId="0" fillId="10" borderId="15" xfId="0" applyFill="1" applyBorder="1"/>
    <xf numFmtId="0" fontId="1" fillId="10" borderId="15" xfId="0" applyFont="1" applyFill="1" applyBorder="1"/>
    <xf numFmtId="0" fontId="8" fillId="10" borderId="6" xfId="0" applyFont="1" applyFill="1" applyBorder="1"/>
    <xf numFmtId="0" fontId="20" fillId="10" borderId="15" xfId="0" applyFont="1" applyFill="1" applyBorder="1"/>
    <xf numFmtId="0" fontId="2" fillId="10" borderId="15" xfId="0" applyFont="1" applyFill="1" applyBorder="1"/>
    <xf numFmtId="0" fontId="2" fillId="10" borderId="35" xfId="0" applyFont="1" applyFill="1" applyBorder="1"/>
    <xf numFmtId="0" fontId="20" fillId="10" borderId="17" xfId="0" applyFont="1" applyFill="1" applyBorder="1"/>
    <xf numFmtId="0" fontId="8" fillId="10" borderId="15" xfId="0" applyFont="1" applyFill="1" applyBorder="1"/>
    <xf numFmtId="165" fontId="8" fillId="0" borderId="0" xfId="0" applyNumberFormat="1" applyFont="1" applyBorder="1"/>
    <xf numFmtId="0" fontId="8" fillId="0" borderId="0" xfId="0" applyFont="1" applyBorder="1"/>
    <xf numFmtId="3" fontId="9" fillId="4" borderId="9" xfId="0" applyNumberFormat="1" applyFont="1" applyFill="1" applyBorder="1" applyAlignment="1">
      <alignment horizontal="center"/>
    </xf>
    <xf numFmtId="9" fontId="9" fillId="4" borderId="9" xfId="1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/>
    </xf>
    <xf numFmtId="9" fontId="9" fillId="4" borderId="16" xfId="1" applyFont="1" applyFill="1" applyBorder="1" applyAlignment="1">
      <alignment horizontal="center"/>
    </xf>
    <xf numFmtId="3" fontId="9" fillId="4" borderId="11" xfId="0" applyNumberFormat="1" applyFont="1" applyFill="1" applyBorder="1" applyAlignment="1">
      <alignment horizontal="center"/>
    </xf>
    <xf numFmtId="9" fontId="9" fillId="4" borderId="11" xfId="1" applyFont="1" applyFill="1" applyBorder="1" applyAlignment="1">
      <alignment horizontal="center"/>
    </xf>
    <xf numFmtId="9" fontId="9" fillId="4" borderId="25" xfId="1" applyFont="1" applyFill="1" applyBorder="1" applyAlignment="1">
      <alignment horizontal="center"/>
    </xf>
    <xf numFmtId="9" fontId="9" fillId="4" borderId="10" xfId="1" applyFont="1" applyFill="1" applyBorder="1" applyAlignment="1">
      <alignment horizontal="center"/>
    </xf>
    <xf numFmtId="9" fontId="9" fillId="4" borderId="26" xfId="1" applyFont="1" applyFill="1" applyBorder="1" applyAlignment="1">
      <alignment horizontal="center"/>
    </xf>
    <xf numFmtId="0" fontId="0" fillId="4" borderId="0" xfId="0" applyFill="1"/>
    <xf numFmtId="3" fontId="9" fillId="4" borderId="12" xfId="0" applyNumberFormat="1" applyFont="1" applyFill="1" applyBorder="1" applyAlignment="1">
      <alignment horizontal="center"/>
    </xf>
    <xf numFmtId="0" fontId="0" fillId="4" borderId="11" xfId="0" applyFill="1" applyBorder="1"/>
    <xf numFmtId="169" fontId="9" fillId="4" borderId="9" xfId="0" applyNumberFormat="1" applyFont="1" applyFill="1" applyBorder="1" applyAlignment="1">
      <alignment horizontal="center"/>
    </xf>
    <xf numFmtId="4" fontId="9" fillId="4" borderId="9" xfId="0" applyNumberFormat="1" applyFont="1" applyFill="1" applyBorder="1" applyAlignment="1">
      <alignment horizontal="center"/>
    </xf>
    <xf numFmtId="169" fontId="9" fillId="4" borderId="15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169" fontId="9" fillId="4" borderId="16" xfId="0" applyNumberFormat="1" applyFont="1" applyFill="1" applyBorder="1" applyAlignment="1">
      <alignment horizontal="center"/>
    </xf>
    <xf numFmtId="3" fontId="9" fillId="4" borderId="11" xfId="0" applyNumberFormat="1" applyFont="1" applyFill="1" applyBorder="1" applyAlignment="1">
      <alignment horizontal="center" vertical="center"/>
    </xf>
    <xf numFmtId="164" fontId="9" fillId="4" borderId="9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3" fontId="9" fillId="4" borderId="18" xfId="0" applyNumberFormat="1" applyFont="1" applyFill="1" applyBorder="1" applyAlignment="1">
      <alignment horizontal="center"/>
    </xf>
    <xf numFmtId="9" fontId="9" fillId="4" borderId="18" xfId="0" applyNumberFormat="1" applyFont="1" applyFill="1" applyBorder="1" applyAlignment="1">
      <alignment horizontal="center"/>
    </xf>
    <xf numFmtId="3" fontId="9" fillId="4" borderId="20" xfId="0" applyNumberFormat="1" applyFont="1" applyFill="1" applyBorder="1" applyAlignment="1">
      <alignment horizontal="center"/>
    </xf>
    <xf numFmtId="164" fontId="9" fillId="4" borderId="20" xfId="0" applyNumberFormat="1" applyFont="1" applyFill="1" applyBorder="1" applyAlignment="1">
      <alignment horizontal="center"/>
    </xf>
    <xf numFmtId="9" fontId="9" fillId="4" borderId="20" xfId="0" applyNumberFormat="1" applyFont="1" applyFill="1" applyBorder="1" applyAlignment="1">
      <alignment horizontal="center"/>
    </xf>
    <xf numFmtId="3" fontId="9" fillId="4" borderId="23" xfId="0" applyNumberFormat="1" applyFont="1" applyFill="1" applyBorder="1" applyAlignment="1">
      <alignment horizontal="center"/>
    </xf>
    <xf numFmtId="9" fontId="9" fillId="4" borderId="23" xfId="0" applyNumberFormat="1" applyFont="1" applyFill="1" applyBorder="1" applyAlignment="1">
      <alignment horizontal="center"/>
    </xf>
    <xf numFmtId="167" fontId="9" fillId="4" borderId="20" xfId="2" applyNumberFormat="1" applyFont="1" applyFill="1" applyBorder="1" applyAlignment="1">
      <alignment horizontal="center"/>
    </xf>
    <xf numFmtId="0" fontId="7" fillId="0" borderId="0" xfId="0" applyFont="1"/>
    <xf numFmtId="0" fontId="0" fillId="4" borderId="7" xfId="0" applyFill="1" applyBorder="1"/>
    <xf numFmtId="0" fontId="0" fillId="0" borderId="7" xfId="0" applyBorder="1"/>
    <xf numFmtId="0" fontId="3" fillId="7" borderId="11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11" borderId="32" xfId="0" applyFont="1" applyFill="1" applyBorder="1"/>
    <xf numFmtId="166" fontId="1" fillId="11" borderId="32" xfId="0" applyNumberFormat="1" applyFont="1" applyFill="1" applyBorder="1"/>
    <xf numFmtId="166" fontId="2" fillId="11" borderId="32" xfId="0" applyNumberFormat="1" applyFont="1" applyFill="1" applyBorder="1"/>
    <xf numFmtId="170" fontId="3" fillId="11" borderId="32" xfId="0" applyNumberFormat="1" applyFont="1" applyFill="1" applyBorder="1"/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23" xfId="0" applyFont="1" applyBorder="1"/>
    <xf numFmtId="166" fontId="0" fillId="0" borderId="0" xfId="0" applyNumberFormat="1" applyBorder="1"/>
    <xf numFmtId="0" fontId="2" fillId="10" borderId="0" xfId="0" applyFont="1" applyFill="1" applyBorder="1"/>
    <xf numFmtId="0" fontId="0" fillId="0" borderId="15" xfId="0" applyBorder="1"/>
    <xf numFmtId="166" fontId="0" fillId="0" borderId="10" xfId="0" applyNumberFormat="1" applyBorder="1"/>
    <xf numFmtId="0" fontId="0" fillId="0" borderId="17" xfId="0" applyBorder="1"/>
    <xf numFmtId="166" fontId="0" fillId="0" borderId="4" xfId="0" applyNumberFormat="1" applyBorder="1"/>
    <xf numFmtId="166" fontId="0" fillId="0" borderId="26" xfId="0" applyNumberFormat="1" applyBorder="1"/>
    <xf numFmtId="0" fontId="2" fillId="10" borderId="12" xfId="0" applyFont="1" applyFill="1" applyBorder="1"/>
    <xf numFmtId="0" fontId="2" fillId="10" borderId="37" xfId="0" applyFont="1" applyFill="1" applyBorder="1"/>
    <xf numFmtId="0" fontId="2" fillId="10" borderId="25" xfId="0" applyFont="1" applyFill="1" applyBorder="1"/>
    <xf numFmtId="0" fontId="8" fillId="10" borderId="0" xfId="0" applyFont="1" applyFill="1" applyBorder="1"/>
    <xf numFmtId="166" fontId="8" fillId="0" borderId="0" xfId="0" applyNumberFormat="1" applyFont="1" applyBorder="1"/>
    <xf numFmtId="166" fontId="8" fillId="0" borderId="10" xfId="0" applyNumberFormat="1" applyFont="1" applyBorder="1"/>
    <xf numFmtId="0" fontId="2" fillId="10" borderId="17" xfId="0" applyFont="1" applyFill="1" applyBorder="1"/>
    <xf numFmtId="0" fontId="3" fillId="7" borderId="0" xfId="0" applyFont="1" applyFill="1" applyBorder="1" applyAlignment="1">
      <alignment horizontal="center"/>
    </xf>
    <xf numFmtId="166" fontId="3" fillId="7" borderId="0" xfId="0" applyNumberFormat="1" applyFont="1" applyFill="1" applyBorder="1" applyAlignment="1">
      <alignment horizontal="center"/>
    </xf>
    <xf numFmtId="16" fontId="3" fillId="7" borderId="0" xfId="0" applyNumberFormat="1" applyFont="1" applyFill="1" applyBorder="1" applyAlignment="1">
      <alignment horizontal="center"/>
    </xf>
    <xf numFmtId="0" fontId="0" fillId="10" borderId="0" xfId="0" applyFill="1" applyBorder="1"/>
    <xf numFmtId="0" fontId="1" fillId="10" borderId="0" xfId="0" applyFont="1" applyFill="1" applyBorder="1"/>
    <xf numFmtId="0" fontId="20" fillId="10" borderId="0" xfId="0" applyFont="1" applyFill="1" applyBorder="1"/>
    <xf numFmtId="0" fontId="0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166" fontId="0" fillId="0" borderId="40" xfId="0" applyNumberFormat="1" applyFont="1" applyFill="1" applyBorder="1" applyAlignment="1">
      <alignment horizontal="center"/>
    </xf>
    <xf numFmtId="0" fontId="0" fillId="0" borderId="33" xfId="0" applyFont="1" applyFill="1" applyBorder="1"/>
    <xf numFmtId="166" fontId="25" fillId="0" borderId="33" xfId="0" applyNumberFormat="1" applyFont="1" applyFill="1" applyBorder="1"/>
    <xf numFmtId="0" fontId="3" fillId="0" borderId="38" xfId="0" applyFont="1" applyFill="1" applyBorder="1" applyAlignment="1">
      <alignment horizontal="center"/>
    </xf>
    <xf numFmtId="16" fontId="0" fillId="0" borderId="39" xfId="0" applyNumberFormat="1" applyFont="1" applyFill="1" applyBorder="1" applyAlignment="1">
      <alignment horizontal="center"/>
    </xf>
    <xf numFmtId="16" fontId="0" fillId="0" borderId="40" xfId="0" applyNumberFormat="1" applyFont="1" applyFill="1" applyBorder="1" applyAlignment="1">
      <alignment horizontal="center"/>
    </xf>
    <xf numFmtId="0" fontId="0" fillId="0" borderId="41" xfId="0" applyFont="1" applyFill="1" applyBorder="1"/>
    <xf numFmtId="166" fontId="25" fillId="0" borderId="41" xfId="0" applyNumberFormat="1" applyFont="1" applyFill="1" applyBorder="1"/>
    <xf numFmtId="0" fontId="25" fillId="0" borderId="33" xfId="0" applyFont="1" applyFill="1" applyBorder="1"/>
    <xf numFmtId="10" fontId="26" fillId="0" borderId="33" xfId="1" applyNumberFormat="1" applyFont="1" applyFill="1" applyBorder="1"/>
    <xf numFmtId="0" fontId="24" fillId="0" borderId="38" xfId="0" applyFont="1" applyFill="1" applyBorder="1"/>
    <xf numFmtId="166" fontId="24" fillId="0" borderId="39" xfId="0" applyNumberFormat="1" applyFont="1" applyFill="1" applyBorder="1"/>
    <xf numFmtId="166" fontId="24" fillId="0" borderId="40" xfId="0" applyNumberFormat="1" applyFont="1" applyFill="1" applyBorder="1"/>
    <xf numFmtId="0" fontId="25" fillId="0" borderId="41" xfId="0" applyFont="1" applyFill="1" applyBorder="1"/>
    <xf numFmtId="10" fontId="25" fillId="0" borderId="33" xfId="1" applyNumberFormat="1" applyFont="1" applyFill="1" applyBorder="1"/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166" fontId="1" fillId="0" borderId="40" xfId="0" applyNumberFormat="1" applyFont="1" applyFill="1" applyBorder="1" applyAlignment="1">
      <alignment horizontal="center"/>
    </xf>
    <xf numFmtId="16" fontId="1" fillId="0" borderId="39" xfId="0" applyNumberFormat="1" applyFont="1" applyFill="1" applyBorder="1" applyAlignment="1">
      <alignment horizontal="center"/>
    </xf>
    <xf numFmtId="16" fontId="1" fillId="0" borderId="40" xfId="0" applyNumberFormat="1" applyFont="1" applyFill="1" applyBorder="1" applyAlignment="1">
      <alignment horizontal="center"/>
    </xf>
    <xf numFmtId="166" fontId="25" fillId="0" borderId="33" xfId="0" applyNumberFormat="1" applyFont="1" applyFill="1" applyBorder="1" applyAlignment="1"/>
    <xf numFmtId="166" fontId="25" fillId="0" borderId="41" xfId="0" applyNumberFormat="1" applyFont="1" applyFill="1" applyBorder="1" applyAlignment="1"/>
    <xf numFmtId="10" fontId="25" fillId="0" borderId="33" xfId="1" applyNumberFormat="1" applyFont="1" applyFill="1" applyBorder="1" applyAlignment="1"/>
    <xf numFmtId="166" fontId="24" fillId="0" borderId="39" xfId="0" applyNumberFormat="1" applyFont="1" applyFill="1" applyBorder="1" applyAlignment="1"/>
    <xf numFmtId="166" fontId="24" fillId="0" borderId="40" xfId="0" applyNumberFormat="1" applyFont="1" applyFill="1" applyBorder="1" applyAlignment="1"/>
    <xf numFmtId="37" fontId="0" fillId="0" borderId="32" xfId="0" applyNumberFormat="1" applyBorder="1" applyAlignment="1">
      <alignment horizontal="center"/>
    </xf>
    <xf numFmtId="37" fontId="0" fillId="0" borderId="33" xfId="0" applyNumberForma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37" fontId="0" fillId="0" borderId="43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37" fontId="0" fillId="0" borderId="45" xfId="0" applyNumberFormat="1" applyBorder="1" applyAlignment="1">
      <alignment horizontal="center"/>
    </xf>
    <xf numFmtId="0" fontId="23" fillId="0" borderId="46" xfId="0" applyFont="1" applyBorder="1" applyAlignment="1">
      <alignment horizontal="center"/>
    </xf>
    <xf numFmtId="37" fontId="23" fillId="0" borderId="47" xfId="0" applyNumberFormat="1" applyFont="1" applyBorder="1" applyAlignment="1">
      <alignment horizontal="center"/>
    </xf>
    <xf numFmtId="37" fontId="23" fillId="0" borderId="48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23" fillId="0" borderId="49" xfId="0" applyFont="1" applyBorder="1"/>
    <xf numFmtId="170" fontId="23" fillId="0" borderId="50" xfId="0" applyNumberFormat="1" applyFont="1" applyBorder="1" applyAlignment="1">
      <alignment horizontal="center"/>
    </xf>
    <xf numFmtId="170" fontId="23" fillId="0" borderId="51" xfId="0" applyNumberFormat="1" applyFont="1" applyBorder="1" applyAlignment="1">
      <alignment horizontal="center"/>
    </xf>
    <xf numFmtId="0" fontId="0" fillId="0" borderId="38" xfId="0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'C'!$B$81:$B$86</c:f>
              <c:strCache>
                <c:ptCount val="6"/>
                <c:pt idx="0">
                  <c:v>EBITDA</c:v>
                </c:pt>
                <c:pt idx="1">
                  <c:v>Resultado Neto/Ganancia</c:v>
                </c:pt>
                <c:pt idx="2">
                  <c:v>Costos Financieros Netos</c:v>
                </c:pt>
                <c:pt idx="3">
                  <c:v>Impuestos</c:v>
                </c:pt>
                <c:pt idx="4">
                  <c:v>Depreciacion y Amortizaciones</c:v>
                </c:pt>
                <c:pt idx="5">
                  <c:v>Total</c:v>
                </c:pt>
              </c:strCache>
            </c:strRef>
          </c:cat>
          <c:val>
            <c:numRef>
              <c:f>'C'!$C$81:$C$86</c:f>
              <c:numCache>
                <c:formatCode>_(* #,##0_);_(* \(#,##0\);_(* "-"??_);_(@_)</c:formatCode>
                <c:ptCount val="6"/>
                <c:pt idx="1">
                  <c:v>5774.8730000000287</c:v>
                </c:pt>
                <c:pt idx="2">
                  <c:v>10046.295</c:v>
                </c:pt>
                <c:pt idx="3">
                  <c:v>9566.2209999999995</c:v>
                </c:pt>
                <c:pt idx="4">
                  <c:v>735.94500000000005</c:v>
                </c:pt>
                <c:pt idx="5">
                  <c:v>26123.334000000028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F-435C-918F-0764847847F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'C'!$B$81:$B$86</c:f>
              <c:strCache>
                <c:ptCount val="6"/>
                <c:pt idx="0">
                  <c:v>EBITDA</c:v>
                </c:pt>
                <c:pt idx="1">
                  <c:v>Resultado Neto/Ganancia</c:v>
                </c:pt>
                <c:pt idx="2">
                  <c:v>Costos Financieros Netos</c:v>
                </c:pt>
                <c:pt idx="3">
                  <c:v>Impuestos</c:v>
                </c:pt>
                <c:pt idx="4">
                  <c:v>Depreciacion y Amortizaciones</c:v>
                </c:pt>
                <c:pt idx="5">
                  <c:v>Total</c:v>
                </c:pt>
              </c:strCache>
            </c:strRef>
          </c:cat>
          <c:val>
            <c:numRef>
              <c:f>'C'!$D$81:$D$86</c:f>
              <c:numCache>
                <c:formatCode>_(* #,##0_);_(* \(#,##0\);_(* "-"??_);_(@_)</c:formatCode>
                <c:ptCount val="6"/>
                <c:pt idx="1">
                  <c:v>14331.43399999999</c:v>
                </c:pt>
                <c:pt idx="2">
                  <c:v>5038.7659999999996</c:v>
                </c:pt>
                <c:pt idx="3">
                  <c:v>5471.07</c:v>
                </c:pt>
                <c:pt idx="4">
                  <c:v>1396.6890000000001</c:v>
                </c:pt>
                <c:pt idx="5">
                  <c:v>26237.958999999988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F-435C-918F-0764847847F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'C'!$B$81:$B$86</c:f>
              <c:strCache>
                <c:ptCount val="6"/>
                <c:pt idx="0">
                  <c:v>EBITDA</c:v>
                </c:pt>
                <c:pt idx="1">
                  <c:v>Resultado Neto/Ganancia</c:v>
                </c:pt>
                <c:pt idx="2">
                  <c:v>Costos Financieros Netos</c:v>
                </c:pt>
                <c:pt idx="3">
                  <c:v>Impuestos</c:v>
                </c:pt>
                <c:pt idx="4">
                  <c:v>Depreciacion y Amortizaciones</c:v>
                </c:pt>
                <c:pt idx="5">
                  <c:v>Total</c:v>
                </c:pt>
              </c:strCache>
            </c:strRef>
          </c:cat>
          <c:val>
            <c:numRef>
              <c:f>'C'!$E$81:$E$86</c:f>
              <c:numCache>
                <c:formatCode>_(* #,##0_);_(* \(#,##0\);_(* "-"??_);_(@_)</c:formatCode>
                <c:ptCount val="6"/>
                <c:pt idx="1">
                  <c:v>48525.059999999969</c:v>
                </c:pt>
                <c:pt idx="2">
                  <c:v>8631.9339999999993</c:v>
                </c:pt>
                <c:pt idx="3">
                  <c:v>23878.66</c:v>
                </c:pt>
                <c:pt idx="4">
                  <c:v>4335.8909999999996</c:v>
                </c:pt>
                <c:pt idx="5">
                  <c:v>85371.544999999969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F-435C-918F-0764847847F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'C'!$B$81:$B$86</c:f>
              <c:strCache>
                <c:ptCount val="6"/>
                <c:pt idx="0">
                  <c:v>EBITDA</c:v>
                </c:pt>
                <c:pt idx="1">
                  <c:v>Resultado Neto/Ganancia</c:v>
                </c:pt>
                <c:pt idx="2">
                  <c:v>Costos Financieros Netos</c:v>
                </c:pt>
                <c:pt idx="3">
                  <c:v>Impuestos</c:v>
                </c:pt>
                <c:pt idx="4">
                  <c:v>Depreciacion y Amortizaciones</c:v>
                </c:pt>
                <c:pt idx="5">
                  <c:v>Total</c:v>
                </c:pt>
              </c:strCache>
            </c:strRef>
          </c:cat>
          <c:val>
            <c:numRef>
              <c:f>'C'!$F$81:$F$86</c:f>
              <c:numCache>
                <c:formatCode>_(* #,##0_);_(* \(#,##0\);_(* "-"??_);_(@_)</c:formatCode>
                <c:ptCount val="6"/>
                <c:pt idx="1">
                  <c:v>53828</c:v>
                </c:pt>
                <c:pt idx="2">
                  <c:v>23142</c:v>
                </c:pt>
                <c:pt idx="3">
                  <c:v>32889</c:v>
                </c:pt>
                <c:pt idx="4">
                  <c:v>4945</c:v>
                </c:pt>
                <c:pt idx="5">
                  <c:v>114804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F-435C-918F-0764847847F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'C'!$B$81:$B$86</c:f>
              <c:strCache>
                <c:ptCount val="6"/>
                <c:pt idx="0">
                  <c:v>EBITDA</c:v>
                </c:pt>
                <c:pt idx="1">
                  <c:v>Resultado Neto/Ganancia</c:v>
                </c:pt>
                <c:pt idx="2">
                  <c:v>Costos Financieros Netos</c:v>
                </c:pt>
                <c:pt idx="3">
                  <c:v>Impuestos</c:v>
                </c:pt>
                <c:pt idx="4">
                  <c:v>Depreciacion y Amortizaciones</c:v>
                </c:pt>
                <c:pt idx="5">
                  <c:v>Total</c:v>
                </c:pt>
              </c:strCache>
            </c:strRef>
          </c:cat>
          <c:val>
            <c:numRef>
              <c:f>'C'!$G$81:$G$86</c:f>
              <c:numCache>
                <c:formatCode>_(* #,##0_);_(* \(#,##0\);_(* "-"??_);_(@_)</c:formatCode>
                <c:ptCount val="6"/>
                <c:pt idx="1">
                  <c:v>122481</c:v>
                </c:pt>
                <c:pt idx="2">
                  <c:v>10629</c:v>
                </c:pt>
                <c:pt idx="3">
                  <c:v>53078</c:v>
                </c:pt>
                <c:pt idx="4">
                  <c:v>7480</c:v>
                </c:pt>
                <c:pt idx="5">
                  <c:v>193668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6F-435C-918F-076484784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1048735"/>
        <c:axId val="1585555519"/>
      </c:barChart>
      <c:catAx>
        <c:axId val="130104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85555519"/>
        <c:crosses val="autoZero"/>
        <c:auto val="1"/>
        <c:lblAlgn val="ctr"/>
        <c:lblOffset val="100"/>
        <c:noMultiLvlLbl val="0"/>
      </c:catAx>
      <c:valAx>
        <c:axId val="158555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0104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34B3E9-C730-4499-BB4F-B2E94573D054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A1AEAA-1EB2-48B9-8CE3-AAC7EB4AFE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&#225;lisis%20v2%20(1)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Estructura"/>
      <sheetName val="Análisis de Tendencia"/>
      <sheetName val="Ratios"/>
      <sheetName val="Comentarios de índices"/>
      <sheetName val="Info Fiplasto"/>
    </sheetNames>
    <sheetDataSet>
      <sheetData sheetId="0" refreshError="1"/>
      <sheetData sheetId="1" refreshError="1">
        <row r="14">
          <cell r="D14">
            <v>520060061</v>
          </cell>
          <cell r="E14">
            <v>372800830</v>
          </cell>
        </row>
        <row r="68">
          <cell r="E68">
            <v>852240380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"/>
  <sheetViews>
    <sheetView tabSelected="1" zoomScale="117" workbookViewId="0">
      <selection activeCell="J99" sqref="J99"/>
    </sheetView>
  </sheetViews>
  <sheetFormatPr baseColWidth="10" defaultRowHeight="15" x14ac:dyDescent="0.25"/>
  <cols>
    <col min="1" max="1" width="2.85546875" customWidth="1"/>
    <col min="2" max="2" width="32.42578125" bestFit="1" customWidth="1"/>
    <col min="3" max="3" width="14.5703125" bestFit="1" customWidth="1"/>
    <col min="4" max="6" width="16.140625" bestFit="1" customWidth="1"/>
    <col min="7" max="7" width="14.42578125" customWidth="1"/>
    <col min="8" max="8" width="12" customWidth="1"/>
    <col min="9" max="9" width="1" customWidth="1"/>
    <col min="10" max="10" width="30.5703125" bestFit="1" customWidth="1"/>
    <col min="14" max="14" width="11.28515625" bestFit="1" customWidth="1"/>
    <col min="15" max="15" width="11.85546875" bestFit="1" customWidth="1"/>
  </cols>
  <sheetData>
    <row r="1" spans="2:15" ht="9.9499999999999993" customHeight="1" thickBot="1" x14ac:dyDescent="0.3"/>
    <row r="2" spans="2:15" ht="15.75" thickBot="1" x14ac:dyDescent="0.3">
      <c r="B2" s="175" t="s">
        <v>111</v>
      </c>
      <c r="C2" s="130" t="s">
        <v>114</v>
      </c>
      <c r="D2" s="130" t="s">
        <v>113</v>
      </c>
      <c r="E2" s="130" t="s">
        <v>112</v>
      </c>
      <c r="F2" s="130" t="s">
        <v>90</v>
      </c>
      <c r="G2" s="131" t="s">
        <v>91</v>
      </c>
      <c r="J2" s="86" t="s">
        <v>120</v>
      </c>
      <c r="K2" s="86" t="s">
        <v>114</v>
      </c>
      <c r="L2" s="86" t="s">
        <v>113</v>
      </c>
      <c r="M2" s="86" t="s">
        <v>112</v>
      </c>
      <c r="N2" s="86" t="s">
        <v>90</v>
      </c>
      <c r="O2" s="87" t="s">
        <v>91</v>
      </c>
    </row>
    <row r="3" spans="2:15" ht="15.75" thickBot="1" x14ac:dyDescent="0.3">
      <c r="B3" s="176"/>
      <c r="C3" s="132">
        <v>43465</v>
      </c>
      <c r="D3" s="132">
        <v>43465</v>
      </c>
      <c r="E3" s="132">
        <v>43465</v>
      </c>
      <c r="F3" s="132">
        <v>43465</v>
      </c>
      <c r="G3" s="133">
        <v>43465</v>
      </c>
      <c r="J3" s="78"/>
      <c r="K3" s="88">
        <v>43465</v>
      </c>
      <c r="L3" s="88">
        <v>43465</v>
      </c>
      <c r="M3" s="88">
        <v>43465</v>
      </c>
      <c r="N3" s="88">
        <v>43465</v>
      </c>
      <c r="O3" s="88">
        <v>43465</v>
      </c>
    </row>
    <row r="4" spans="2:15" x14ac:dyDescent="0.25">
      <c r="B4" s="134" t="s">
        <v>92</v>
      </c>
      <c r="C4" s="80">
        <v>428431.97700000001</v>
      </c>
      <c r="D4" s="80">
        <v>566528.63500000001</v>
      </c>
      <c r="E4" s="80">
        <v>783386.29799999995</v>
      </c>
      <c r="F4" s="80">
        <v>1107064</v>
      </c>
      <c r="G4" s="120">
        <v>1564025</v>
      </c>
      <c r="J4" s="11" t="s">
        <v>92</v>
      </c>
      <c r="K4" s="80">
        <f>C4/$K$22</f>
        <v>87115.082757218377</v>
      </c>
      <c r="L4" s="80">
        <f>D4/$L$22</f>
        <v>115194.92374949166</v>
      </c>
      <c r="M4" s="80">
        <f>E4/$M$22</f>
        <v>91613.413401941289</v>
      </c>
      <c r="N4" s="80">
        <f>F4/$N$22</f>
        <v>84897.546012269944</v>
      </c>
      <c r="O4" s="80">
        <f>G4/$O$22</f>
        <v>98428.256765261161</v>
      </c>
    </row>
    <row r="5" spans="2:15" ht="15.75" thickBot="1" x14ac:dyDescent="0.3">
      <c r="B5" s="135" t="s">
        <v>93</v>
      </c>
      <c r="C5" s="80">
        <v>-382042.42</v>
      </c>
      <c r="D5" s="80">
        <v>-507659.19900000002</v>
      </c>
      <c r="E5" s="80">
        <v>-668403.86</v>
      </c>
      <c r="F5" s="80">
        <v>-933548</v>
      </c>
      <c r="G5" s="120">
        <v>-1320072</v>
      </c>
      <c r="H5" s="83"/>
      <c r="J5" s="1" t="s">
        <v>93</v>
      </c>
      <c r="K5" s="80">
        <f>C5/$K$22</f>
        <v>-77682.476616510772</v>
      </c>
      <c r="L5" s="80">
        <f>D5/$L$22</f>
        <v>-103224.7252948353</v>
      </c>
      <c r="M5" s="80">
        <f>E5/$M$22</f>
        <v>-78166.74774880131</v>
      </c>
      <c r="N5" s="80">
        <f>F5/$N$22</f>
        <v>-71591.104294478529</v>
      </c>
      <c r="O5" s="80">
        <f>G5/$O$22</f>
        <v>-83075.645059786024</v>
      </c>
    </row>
    <row r="6" spans="2:15" ht="15.75" thickBot="1" x14ac:dyDescent="0.3">
      <c r="B6" s="136" t="s">
        <v>94</v>
      </c>
      <c r="C6" s="81">
        <f>SUM(C4:C5)</f>
        <v>46389.55700000003</v>
      </c>
      <c r="D6" s="81">
        <f>SUM(D4:D5)</f>
        <v>58869.435999999987</v>
      </c>
      <c r="E6" s="81">
        <f>SUM(E4:E5)</f>
        <v>114982.43799999997</v>
      </c>
      <c r="F6" s="81">
        <f>SUM(F4:F5)</f>
        <v>173516</v>
      </c>
      <c r="G6" s="81">
        <f>SUM(G4:G5)</f>
        <v>243953</v>
      </c>
      <c r="J6" s="79" t="s">
        <v>94</v>
      </c>
      <c r="K6" s="81">
        <f>C6/$K$22</f>
        <v>9432.6061407076104</v>
      </c>
      <c r="L6" s="81">
        <f>D6/$L$22</f>
        <v>11970.198454656362</v>
      </c>
      <c r="M6" s="81">
        <f>E6/$M$22</f>
        <v>13446.665653139979</v>
      </c>
      <c r="N6" s="81">
        <f>F6/$N$22</f>
        <v>13306.441717791411</v>
      </c>
      <c r="O6" s="81">
        <f>G6/$O$22</f>
        <v>15352.611705475141</v>
      </c>
    </row>
    <row r="7" spans="2:15" x14ac:dyDescent="0.25">
      <c r="B7" s="141"/>
      <c r="C7" s="142"/>
      <c r="D7" s="142"/>
      <c r="E7" s="142"/>
      <c r="F7" s="142"/>
      <c r="G7" s="142"/>
      <c r="J7" s="143"/>
      <c r="K7" s="142"/>
      <c r="L7" s="142"/>
      <c r="M7" s="142"/>
      <c r="N7" s="142"/>
      <c r="O7" s="142"/>
    </row>
    <row r="8" spans="2:15" x14ac:dyDescent="0.25">
      <c r="B8" s="137" t="s">
        <v>95</v>
      </c>
      <c r="C8" s="95">
        <f>C6/C4</f>
        <v>0.10827753176789609</v>
      </c>
      <c r="D8" s="95">
        <f>D6/D4</f>
        <v>0.10391255156943653</v>
      </c>
      <c r="E8" s="95">
        <f>E6/E4</f>
        <v>0.14677616687137918</v>
      </c>
      <c r="F8" s="95">
        <f>F6/F4</f>
        <v>0.15673529262987507</v>
      </c>
      <c r="G8" s="121">
        <f>G6/G4</f>
        <v>0.15597768577868001</v>
      </c>
      <c r="J8" s="82" t="s">
        <v>95</v>
      </c>
      <c r="K8" s="95">
        <f>C8/$K$22</f>
        <v>2.201657823666045E-2</v>
      </c>
      <c r="L8" s="95">
        <f>D8/$L$22</f>
        <v>2.1129026345961067E-2</v>
      </c>
      <c r="M8" s="95">
        <f>E8/$M$22</f>
        <v>1.7164795564422779E-2</v>
      </c>
      <c r="N8" s="95">
        <f>F8/$N$22</f>
        <v>1.2019577655665267E-2</v>
      </c>
      <c r="O8" s="95">
        <f>G8/$O$22</f>
        <v>9.8160909867010711E-3</v>
      </c>
    </row>
    <row r="9" spans="2:15" ht="15.75" thickBot="1" x14ac:dyDescent="0.3">
      <c r="B9" s="138" t="s">
        <v>96</v>
      </c>
      <c r="C9" s="3">
        <v>-21002.168000000001</v>
      </c>
      <c r="D9" s="3">
        <v>-34028.165999999997</v>
      </c>
      <c r="E9" s="3">
        <v>-33946.784</v>
      </c>
      <c r="F9" s="3">
        <v>-63657</v>
      </c>
      <c r="G9" s="122">
        <v>-57765</v>
      </c>
      <c r="J9" s="5" t="s">
        <v>96</v>
      </c>
      <c r="K9" s="3">
        <f>C9/$K$22</f>
        <v>-4270.4692964619762</v>
      </c>
      <c r="L9" s="3">
        <f>D9/$L$22</f>
        <v>-6919.1065473769822</v>
      </c>
      <c r="M9" s="3">
        <f>E9/$M$22</f>
        <v>-3969.9197754648576</v>
      </c>
      <c r="N9" s="3">
        <f>F9/$N$22</f>
        <v>-4881.6717791411047</v>
      </c>
      <c r="O9" s="3">
        <f>G9/$O$22</f>
        <v>-3635.30522341095</v>
      </c>
    </row>
    <row r="10" spans="2:15" ht="15.75" thickBot="1" x14ac:dyDescent="0.3">
      <c r="B10" s="136" t="s">
        <v>97</v>
      </c>
      <c r="C10" s="81">
        <f>C6+C9</f>
        <v>25387.389000000028</v>
      </c>
      <c r="D10" s="81">
        <f>D6+D9</f>
        <v>24841.26999999999</v>
      </c>
      <c r="E10" s="81">
        <f>E6+E9</f>
        <v>81035.653999999966</v>
      </c>
      <c r="F10" s="81">
        <f>F6+F9</f>
        <v>109859</v>
      </c>
      <c r="G10" s="81">
        <f>G6+G9</f>
        <v>186188</v>
      </c>
      <c r="J10" s="79" t="s">
        <v>97</v>
      </c>
      <c r="K10" s="81">
        <f>C10/$K$22</f>
        <v>5162.1368442456342</v>
      </c>
      <c r="L10" s="81">
        <f>D10/$L$22</f>
        <v>5051.0919072793795</v>
      </c>
      <c r="M10" s="81">
        <f>E10/$M$22</f>
        <v>9476.7458776751209</v>
      </c>
      <c r="N10" s="81">
        <f>F10/$N$22</f>
        <v>8424.7699386503082</v>
      </c>
      <c r="O10" s="81">
        <f>G10/$O$22</f>
        <v>11717.30648206419</v>
      </c>
    </row>
    <row r="11" spans="2:15" x14ac:dyDescent="0.25">
      <c r="B11" s="137" t="s">
        <v>98</v>
      </c>
      <c r="C11" s="95">
        <f>C10/C4</f>
        <v>5.9256522302022351E-2</v>
      </c>
      <c r="D11" s="95">
        <f>D10/D4</f>
        <v>4.3848216074726727E-2</v>
      </c>
      <c r="E11" s="95">
        <f>E10/E4</f>
        <v>0.10344277683549677</v>
      </c>
      <c r="F11" s="95">
        <f>F10/F4</f>
        <v>9.923455193195696E-2</v>
      </c>
      <c r="G11" s="121">
        <f>G10/G4</f>
        <v>0.11904413292626397</v>
      </c>
      <c r="J11" s="82" t="s">
        <v>98</v>
      </c>
      <c r="K11" s="95">
        <f>C11/$K$22</f>
        <v>1.2048906527454727E-2</v>
      </c>
      <c r="L11" s="95">
        <f>D11/$L$22</f>
        <v>8.9158633742835967E-3</v>
      </c>
      <c r="M11" s="95">
        <f>E11/$M$22</f>
        <v>1.2097155518126157E-2</v>
      </c>
      <c r="N11" s="95">
        <f>F11/$N$22</f>
        <v>7.6100116512236938E-3</v>
      </c>
      <c r="O11" s="95">
        <f>G11/$O$22</f>
        <v>7.4917641866748871E-3</v>
      </c>
    </row>
    <row r="12" spans="2:15" x14ac:dyDescent="0.25">
      <c r="B12" s="137"/>
      <c r="C12" s="95"/>
      <c r="D12" s="95"/>
      <c r="E12" s="95"/>
      <c r="F12" s="95"/>
      <c r="G12" s="121"/>
      <c r="J12" s="82"/>
      <c r="K12" s="95"/>
      <c r="L12" s="95"/>
      <c r="M12" s="95"/>
      <c r="N12" s="95"/>
      <c r="O12" s="95"/>
    </row>
    <row r="13" spans="2:15" ht="15.75" thickBot="1" x14ac:dyDescent="0.3">
      <c r="B13" s="139" t="s">
        <v>110</v>
      </c>
      <c r="C13" s="9">
        <v>10046.295</v>
      </c>
      <c r="D13" s="9">
        <v>5038.7659999999996</v>
      </c>
      <c r="E13" s="10">
        <v>8631.9339999999993</v>
      </c>
      <c r="F13" s="9">
        <v>23142</v>
      </c>
      <c r="G13" s="123">
        <v>10629</v>
      </c>
      <c r="J13" s="8" t="s">
        <v>110</v>
      </c>
      <c r="K13" s="10">
        <f t="shared" ref="K13:K21" si="0">C13/$K$22</f>
        <v>2042.7602684017893</v>
      </c>
      <c r="L13" s="10">
        <f t="shared" ref="L13:L21" si="1">D13/$L$22</f>
        <v>1024.5559170394467</v>
      </c>
      <c r="M13" s="10">
        <f t="shared" ref="M13:M21" si="2">E13/$M$22</f>
        <v>1009.4648579113552</v>
      </c>
      <c r="N13" s="10">
        <f t="shared" ref="N13:N21" si="3">F13/$N$22</f>
        <v>1774.6932515337423</v>
      </c>
      <c r="O13" s="10">
        <f t="shared" ref="O13:O21" si="4">G13/$O$22</f>
        <v>668.91126494650723</v>
      </c>
    </row>
    <row r="14" spans="2:15" ht="15.75" thickBot="1" x14ac:dyDescent="0.3">
      <c r="B14" s="136" t="s">
        <v>99</v>
      </c>
      <c r="C14" s="81">
        <f>C10-C13</f>
        <v>15341.094000000028</v>
      </c>
      <c r="D14" s="81">
        <f t="shared" ref="D14:G14" si="5">D10-D13</f>
        <v>19802.50399999999</v>
      </c>
      <c r="E14" s="81">
        <f t="shared" si="5"/>
        <v>72403.719999999972</v>
      </c>
      <c r="F14" s="81">
        <f t="shared" si="5"/>
        <v>86717</v>
      </c>
      <c r="G14" s="81">
        <f t="shared" si="5"/>
        <v>175559</v>
      </c>
      <c r="J14" s="79" t="s">
        <v>99</v>
      </c>
      <c r="K14" s="81">
        <f t="shared" si="0"/>
        <v>3119.3765758438444</v>
      </c>
      <c r="L14" s="81">
        <f t="shared" si="1"/>
        <v>4026.5359902399327</v>
      </c>
      <c r="M14" s="81">
        <f t="shared" si="2"/>
        <v>8467.2810197637664</v>
      </c>
      <c r="N14" s="81">
        <f t="shared" si="3"/>
        <v>6650.0766871165652</v>
      </c>
      <c r="O14" s="81">
        <f t="shared" si="4"/>
        <v>11048.395217117684</v>
      </c>
    </row>
    <row r="15" spans="2:15" x14ac:dyDescent="0.25">
      <c r="B15" s="138" t="s">
        <v>100</v>
      </c>
      <c r="C15" s="96">
        <f>C14/C4</f>
        <v>3.5807537307141826E-2</v>
      </c>
      <c r="D15" s="96">
        <f>D14/D4</f>
        <v>3.4954109601185453E-2</v>
      </c>
      <c r="E15" s="96">
        <f>E14/E4</f>
        <v>9.2424031649325555E-2</v>
      </c>
      <c r="F15" s="96">
        <f>F14/F4</f>
        <v>7.8330611419032678E-2</v>
      </c>
      <c r="G15" s="124">
        <f>G14/G4</f>
        <v>0.11224820575118684</v>
      </c>
      <c r="J15" s="5" t="s">
        <v>100</v>
      </c>
      <c r="K15" s="12">
        <f t="shared" si="0"/>
        <v>7.2809144585485614E-3</v>
      </c>
      <c r="L15" s="12">
        <f t="shared" si="1"/>
        <v>7.1073830014610519E-3</v>
      </c>
      <c r="M15" s="12">
        <f t="shared" si="2"/>
        <v>1.0808564103534739E-2</v>
      </c>
      <c r="N15" s="12">
        <f t="shared" si="3"/>
        <v>6.0069487284534267E-3</v>
      </c>
      <c r="O15" s="12">
        <f t="shared" si="4"/>
        <v>7.0640783984384416E-3</v>
      </c>
    </row>
    <row r="16" spans="2:15" x14ac:dyDescent="0.25">
      <c r="B16" s="138" t="s">
        <v>1</v>
      </c>
      <c r="C16" s="3">
        <v>-9566.2209999999995</v>
      </c>
      <c r="D16" s="3">
        <v>-5471.07</v>
      </c>
      <c r="E16" s="3">
        <v>-23878.66</v>
      </c>
      <c r="F16" s="3">
        <v>-32889</v>
      </c>
      <c r="G16" s="122">
        <v>-53078</v>
      </c>
      <c r="J16" s="5" t="s">
        <v>1</v>
      </c>
      <c r="K16" s="3">
        <f t="shared" si="0"/>
        <v>-1945.1445709638062</v>
      </c>
      <c r="L16" s="3">
        <f t="shared" si="1"/>
        <v>-1112.4583163887758</v>
      </c>
      <c r="M16" s="3">
        <f t="shared" si="2"/>
        <v>-2792.4991229096013</v>
      </c>
      <c r="N16" s="3">
        <f t="shared" si="3"/>
        <v>-2522.1625766871166</v>
      </c>
      <c r="O16" s="3">
        <f t="shared" si="4"/>
        <v>-3340.3398363750784</v>
      </c>
    </row>
    <row r="17" spans="2:15" ht="15.75" thickBot="1" x14ac:dyDescent="0.3">
      <c r="B17" s="138" t="s">
        <v>101</v>
      </c>
      <c r="C17" s="12">
        <f>(C16/C14)*-1</f>
        <v>0.62356837132997045</v>
      </c>
      <c r="D17" s="12">
        <f>(D16/D14)*-1</f>
        <v>0.27628172679576291</v>
      </c>
      <c r="E17" s="12">
        <f>(E16/E14)*-1</f>
        <v>0.32979880039312909</v>
      </c>
      <c r="F17" s="12">
        <f>(F16/F14)*-1</f>
        <v>0.37926819424103692</v>
      </c>
      <c r="G17" s="125">
        <f>(G16/G14)*-1</f>
        <v>0.30233710604412189</v>
      </c>
      <c r="J17" s="5" t="s">
        <v>101</v>
      </c>
      <c r="K17" s="12">
        <f t="shared" si="0"/>
        <v>0.12679308079096593</v>
      </c>
      <c r="L17" s="12">
        <f t="shared" si="1"/>
        <v>5.6177658966198231E-2</v>
      </c>
      <c r="M17" s="12">
        <f t="shared" si="2"/>
        <v>3.8568448180695721E-2</v>
      </c>
      <c r="N17" s="12">
        <f t="shared" si="3"/>
        <v>2.9084984220938415E-2</v>
      </c>
      <c r="O17" s="12">
        <f t="shared" si="4"/>
        <v>1.902687892033492E-2</v>
      </c>
    </row>
    <row r="18" spans="2:15" ht="15.75" thickBot="1" x14ac:dyDescent="0.3">
      <c r="B18" s="136" t="s">
        <v>102</v>
      </c>
      <c r="C18" s="81">
        <f>C14--C16</f>
        <v>5774.8730000000287</v>
      </c>
      <c r="D18" s="81">
        <f>D14+D16</f>
        <v>14331.43399999999</v>
      </c>
      <c r="E18" s="81">
        <f>E14+E16</f>
        <v>48525.059999999969</v>
      </c>
      <c r="F18" s="81">
        <f>F14+F16</f>
        <v>53828</v>
      </c>
      <c r="G18" s="81">
        <f>G14+G16</f>
        <v>122481</v>
      </c>
      <c r="H18" s="83"/>
      <c r="J18" s="79" t="s">
        <v>102</v>
      </c>
      <c r="K18" s="81">
        <f t="shared" si="0"/>
        <v>1174.2320048800384</v>
      </c>
      <c r="L18" s="81">
        <f t="shared" si="1"/>
        <v>2914.0776738511568</v>
      </c>
      <c r="M18" s="81">
        <f t="shared" si="2"/>
        <v>5674.7818968541651</v>
      </c>
      <c r="N18" s="81">
        <f t="shared" si="3"/>
        <v>4127.9141104294486</v>
      </c>
      <c r="O18" s="81">
        <f t="shared" si="4"/>
        <v>7708.0553807426049</v>
      </c>
    </row>
    <row r="19" spans="2:15" ht="15.75" thickBot="1" x14ac:dyDescent="0.3">
      <c r="B19" s="137" t="s">
        <v>103</v>
      </c>
      <c r="C19" s="95">
        <f>C18/C4</f>
        <v>1.3479089587190241E-2</v>
      </c>
      <c r="D19" s="95">
        <f>D18/D4</f>
        <v>2.5296927841961581E-2</v>
      </c>
      <c r="E19" s="95">
        <f>E18/E4</f>
        <v>6.1942696883881383E-2</v>
      </c>
      <c r="F19" s="95">
        <f>F18/F4</f>
        <v>4.8622301872339811E-2</v>
      </c>
      <c r="G19" s="121">
        <f>G18/G4</f>
        <v>7.8311408065727853E-2</v>
      </c>
      <c r="H19" s="83"/>
      <c r="J19" s="82" t="s">
        <v>103</v>
      </c>
      <c r="K19" s="95">
        <f t="shared" si="0"/>
        <v>2.7407664878386011E-3</v>
      </c>
      <c r="L19" s="95">
        <f t="shared" si="1"/>
        <v>5.14374295281854E-3</v>
      </c>
      <c r="M19" s="95">
        <f t="shared" si="2"/>
        <v>7.2439126282167442E-3</v>
      </c>
      <c r="N19" s="95">
        <f t="shared" si="3"/>
        <v>3.7287041313144031E-3</v>
      </c>
      <c r="O19" s="95">
        <f t="shared" si="4"/>
        <v>4.9283453785857675E-3</v>
      </c>
    </row>
    <row r="20" spans="2:15" ht="15.75" thickBot="1" x14ac:dyDescent="0.3">
      <c r="B20" s="136" t="s">
        <v>104</v>
      </c>
      <c r="C20" s="81">
        <f>C18/C21</f>
        <v>0.10314785601350095</v>
      </c>
      <c r="D20" s="81">
        <f>D18/D21</f>
        <v>0.25598081389824218</v>
      </c>
      <c r="E20" s="81">
        <f>E18/E21</f>
        <v>0.8667300392452727</v>
      </c>
      <c r="F20" s="81">
        <f>F18/F21</f>
        <v>0.96144846709091281</v>
      </c>
      <c r="G20" s="81">
        <f>G18/G21</f>
        <v>1.4584623826231962</v>
      </c>
      <c r="J20" s="79" t="s">
        <v>104</v>
      </c>
      <c r="K20" s="81">
        <f t="shared" si="0"/>
        <v>2.097353721299328E-2</v>
      </c>
      <c r="L20" s="81">
        <f t="shared" si="1"/>
        <v>5.2049779157836963E-2</v>
      </c>
      <c r="M20" s="81">
        <f t="shared" si="2"/>
        <v>0.10136007943460094</v>
      </c>
      <c r="N20" s="81">
        <f t="shared" si="3"/>
        <v>7.3730710666481042E-2</v>
      </c>
      <c r="O20" s="81">
        <f t="shared" si="4"/>
        <v>9.1784920240603904E-2</v>
      </c>
    </row>
    <row r="21" spans="2:15" x14ac:dyDescent="0.25">
      <c r="B21" s="137" t="s">
        <v>105</v>
      </c>
      <c r="C21" s="85">
        <v>55986.36</v>
      </c>
      <c r="D21" s="85">
        <v>55986.36</v>
      </c>
      <c r="E21" s="85">
        <v>55986.36</v>
      </c>
      <c r="F21" s="85">
        <v>55986.36</v>
      </c>
      <c r="G21" s="126">
        <v>83979.54</v>
      </c>
      <c r="J21" s="84" t="s">
        <v>105</v>
      </c>
      <c r="K21" s="85">
        <f t="shared" si="0"/>
        <v>11383.969093127287</v>
      </c>
      <c r="L21" s="85">
        <f t="shared" si="1"/>
        <v>11383.969093127287</v>
      </c>
      <c r="M21" s="85">
        <f t="shared" si="2"/>
        <v>6547.3465091802127</v>
      </c>
      <c r="N21" s="85">
        <f t="shared" si="3"/>
        <v>4293.4325153374239</v>
      </c>
      <c r="O21" s="85">
        <f t="shared" si="4"/>
        <v>5285.0560100692255</v>
      </c>
    </row>
    <row r="22" spans="2:15" ht="15.75" thickBot="1" x14ac:dyDescent="0.3">
      <c r="B22" s="138"/>
      <c r="C22" s="3"/>
      <c r="D22" s="3"/>
      <c r="E22" s="3"/>
      <c r="F22" s="3"/>
      <c r="G22" s="3"/>
      <c r="J22" s="89" t="s">
        <v>115</v>
      </c>
      <c r="K22" s="89">
        <v>4.9180000000000001</v>
      </c>
      <c r="L22" s="89">
        <v>4.9180000000000001</v>
      </c>
      <c r="M22" s="89">
        <v>8.5510000000000002</v>
      </c>
      <c r="N22" s="89">
        <v>13.04</v>
      </c>
      <c r="O22" s="89">
        <v>15.89</v>
      </c>
    </row>
    <row r="23" spans="2:15" ht="15.75" thickBot="1" x14ac:dyDescent="0.3">
      <c r="B23" s="136" t="s">
        <v>116</v>
      </c>
      <c r="C23" s="81">
        <f>C10</f>
        <v>25387.389000000028</v>
      </c>
      <c r="D23" s="81">
        <f t="shared" ref="D23:G23" si="6">D10</f>
        <v>24841.26999999999</v>
      </c>
      <c r="E23" s="81">
        <f t="shared" si="6"/>
        <v>81035.653999999966</v>
      </c>
      <c r="F23" s="81">
        <f t="shared" si="6"/>
        <v>109859</v>
      </c>
      <c r="G23" s="81">
        <f t="shared" si="6"/>
        <v>186188</v>
      </c>
      <c r="J23" s="79" t="s">
        <v>102</v>
      </c>
      <c r="K23" s="81">
        <f>K18</f>
        <v>1174.2320048800384</v>
      </c>
      <c r="L23" s="81">
        <f>D23/$L$22</f>
        <v>5051.0919072793795</v>
      </c>
      <c r="M23" s="81">
        <f>E23/$M$22</f>
        <v>9476.7458776751209</v>
      </c>
      <c r="N23" s="81">
        <f>F23/$N$22</f>
        <v>8424.7699386503082</v>
      </c>
      <c r="O23" s="81">
        <f>G23/$O$22</f>
        <v>11717.30648206419</v>
      </c>
    </row>
    <row r="24" spans="2:15" ht="15.75" thickBot="1" x14ac:dyDescent="0.3">
      <c r="B24" s="138" t="s">
        <v>108</v>
      </c>
      <c r="C24" s="122">
        <v>735.94500000000005</v>
      </c>
      <c r="D24" s="122">
        <v>1396.6890000000001</v>
      </c>
      <c r="E24" s="3">
        <v>4335.8909999999996</v>
      </c>
      <c r="F24" s="3">
        <v>4945</v>
      </c>
      <c r="G24" s="122">
        <v>7480</v>
      </c>
      <c r="J24" s="5" t="s">
        <v>108</v>
      </c>
      <c r="K24" s="5">
        <f>C24/K22</f>
        <v>149.64314762098414</v>
      </c>
      <c r="L24" s="5">
        <f t="shared" ref="L24:O24" si="7">D24/L22</f>
        <v>283.99532330215533</v>
      </c>
      <c r="M24" s="5">
        <f t="shared" si="7"/>
        <v>507.06244883639334</v>
      </c>
      <c r="N24" s="5">
        <f t="shared" si="7"/>
        <v>379.21779141104298</v>
      </c>
      <c r="O24" s="5">
        <f t="shared" si="7"/>
        <v>470.73631214600374</v>
      </c>
    </row>
    <row r="25" spans="2:15" ht="15.75" thickBot="1" x14ac:dyDescent="0.3">
      <c r="B25" s="136" t="s">
        <v>3</v>
      </c>
      <c r="C25" s="90">
        <f>C23+C24</f>
        <v>26123.334000000028</v>
      </c>
      <c r="D25" s="90">
        <f t="shared" ref="D25:G25" si="8">D23+D24</f>
        <v>26237.958999999988</v>
      </c>
      <c r="E25" s="90">
        <f t="shared" si="8"/>
        <v>85371.544999999969</v>
      </c>
      <c r="F25" s="90">
        <f t="shared" si="8"/>
        <v>114804</v>
      </c>
      <c r="G25" s="127">
        <f t="shared" si="8"/>
        <v>193668</v>
      </c>
      <c r="J25" s="79" t="s">
        <v>3</v>
      </c>
      <c r="K25" s="81">
        <f>C25/K22</f>
        <v>5311.7799918666178</v>
      </c>
      <c r="L25" s="81">
        <f t="shared" ref="L25:O25" si="9">D25/L22</f>
        <v>5335.0872305815346</v>
      </c>
      <c r="M25" s="81">
        <f t="shared" si="9"/>
        <v>9983.8083265115147</v>
      </c>
      <c r="N25" s="81">
        <f t="shared" si="9"/>
        <v>8803.9877300613498</v>
      </c>
      <c r="O25" s="81">
        <f t="shared" si="9"/>
        <v>12188.042794210194</v>
      </c>
    </row>
    <row r="26" spans="2:15" ht="15.75" thickBot="1" x14ac:dyDescent="0.3">
      <c r="B26" s="140" t="s">
        <v>109</v>
      </c>
      <c r="C26" s="128">
        <f t="shared" ref="C26:E26" si="10">C25/C4</f>
        <v>6.0974286240076864E-2</v>
      </c>
      <c r="D26" s="128">
        <f t="shared" si="10"/>
        <v>4.6313561890830086E-2</v>
      </c>
      <c r="E26" s="128">
        <f t="shared" si="10"/>
        <v>0.10897758260254889</v>
      </c>
      <c r="F26" s="128">
        <f>F25/F4</f>
        <v>0.10370132169413873</v>
      </c>
      <c r="G26" s="129">
        <f>G25/G4</f>
        <v>0.12382666517478941</v>
      </c>
      <c r="J26" s="82" t="s">
        <v>109</v>
      </c>
      <c r="K26" s="95">
        <f>K25/K6</f>
        <v>0.5631296285066919</v>
      </c>
      <c r="L26" s="95">
        <f>L25/L6</f>
        <v>0.44569747534187337</v>
      </c>
      <c r="M26" s="95">
        <f t="shared" ref="M26:O26" si="11">M25/M6</f>
        <v>0.74247464643252736</v>
      </c>
      <c r="N26" s="95">
        <f t="shared" si="11"/>
        <v>0.66163350930173592</v>
      </c>
      <c r="O26" s="95">
        <f t="shared" si="11"/>
        <v>0.79387422987214751</v>
      </c>
    </row>
    <row r="27" spans="2:15" ht="15.75" thickBot="1" x14ac:dyDescent="0.3">
      <c r="B27" s="5"/>
      <c r="C27" s="5"/>
      <c r="D27" s="5"/>
      <c r="E27" s="3"/>
      <c r="F27" s="3"/>
      <c r="G27" s="3"/>
      <c r="J27" s="5"/>
      <c r="K27" s="5"/>
      <c r="L27" s="5"/>
      <c r="M27" s="3"/>
      <c r="N27" s="3"/>
      <c r="O27" s="3"/>
    </row>
    <row r="28" spans="2:15" ht="15.75" thickBot="1" x14ac:dyDescent="0.3">
      <c r="B28" s="79" t="s">
        <v>117</v>
      </c>
      <c r="C28" s="81">
        <f>C18</f>
        <v>5774.8730000000287</v>
      </c>
      <c r="D28" s="81">
        <f t="shared" ref="D28:G28" si="12">D18</f>
        <v>14331.43399999999</v>
      </c>
      <c r="E28" s="81">
        <f t="shared" si="12"/>
        <v>48525.059999999969</v>
      </c>
      <c r="F28" s="81">
        <f t="shared" si="12"/>
        <v>53828</v>
      </c>
      <c r="G28" s="81">
        <f t="shared" si="12"/>
        <v>122481</v>
      </c>
      <c r="H28" s="173"/>
      <c r="I28" s="174"/>
      <c r="J28" s="79" t="s">
        <v>117</v>
      </c>
      <c r="K28" s="81">
        <f>K18</f>
        <v>1174.2320048800384</v>
      </c>
      <c r="L28" s="81">
        <f t="shared" ref="L28:O28" si="13">L18</f>
        <v>2914.0776738511568</v>
      </c>
      <c r="M28" s="81">
        <f t="shared" si="13"/>
        <v>5674.7818968541651</v>
      </c>
      <c r="N28" s="81">
        <f t="shared" si="13"/>
        <v>4127.9141104294486</v>
      </c>
      <c r="O28" s="81">
        <f t="shared" si="13"/>
        <v>7708.0553807426049</v>
      </c>
    </row>
    <row r="29" spans="2:15" x14ac:dyDescent="0.25">
      <c r="B29" s="172" t="s">
        <v>106</v>
      </c>
      <c r="C29" s="172"/>
      <c r="D29" s="172">
        <v>-4762.1360000000004</v>
      </c>
      <c r="E29" s="172">
        <v>-6237</v>
      </c>
      <c r="F29" s="172">
        <v>-5995</v>
      </c>
      <c r="G29" s="172">
        <v>-13120</v>
      </c>
      <c r="H29" s="172"/>
      <c r="I29" s="172"/>
      <c r="J29" s="172" t="s">
        <v>106</v>
      </c>
      <c r="K29" s="172"/>
      <c r="L29" s="172">
        <v>-4762.1360000000004</v>
      </c>
      <c r="M29" s="172">
        <v>-6237</v>
      </c>
      <c r="N29" s="172"/>
      <c r="O29" s="172"/>
    </row>
    <row r="30" spans="2:15" x14ac:dyDescent="0.25">
      <c r="B30" s="172" t="s">
        <v>107</v>
      </c>
      <c r="C30" s="172"/>
      <c r="D30" s="172">
        <v>5228.9589999999998</v>
      </c>
      <c r="E30" s="172">
        <v>23802.670999999998</v>
      </c>
      <c r="F30" s="172"/>
      <c r="G30" s="172">
        <v>53078</v>
      </c>
      <c r="H30" s="172"/>
      <c r="I30" s="172"/>
      <c r="J30" s="172" t="s">
        <v>107</v>
      </c>
      <c r="K30" s="172"/>
      <c r="L30" s="172">
        <v>5228.9589999999998</v>
      </c>
      <c r="M30" s="172">
        <v>23802.670999999998</v>
      </c>
      <c r="N30" s="172"/>
      <c r="O30" s="172">
        <v>53078</v>
      </c>
    </row>
    <row r="31" spans="2:15" x14ac:dyDescent="0.25">
      <c r="B31" s="172" t="s">
        <v>118</v>
      </c>
      <c r="C31" s="172">
        <f>C24</f>
        <v>735.94500000000005</v>
      </c>
      <c r="D31" s="172">
        <f t="shared" ref="D31:F31" si="14">D24</f>
        <v>1396.6890000000001</v>
      </c>
      <c r="E31" s="172">
        <f>E24</f>
        <v>4335.8909999999996</v>
      </c>
      <c r="F31" s="172">
        <f t="shared" si="14"/>
        <v>4945</v>
      </c>
      <c r="G31" s="172">
        <v>7480</v>
      </c>
      <c r="H31" s="172"/>
      <c r="I31" s="172"/>
      <c r="J31" s="172" t="s">
        <v>118</v>
      </c>
      <c r="K31" s="172">
        <f>K24</f>
        <v>149.64314762098414</v>
      </c>
      <c r="L31" s="172">
        <f t="shared" ref="L31" si="15">L24</f>
        <v>283.99532330215533</v>
      </c>
      <c r="M31" s="172">
        <f>M24</f>
        <v>507.06244883639334</v>
      </c>
      <c r="N31" s="172">
        <f t="shared" ref="N31" si="16">N24</f>
        <v>379.21779141104298</v>
      </c>
      <c r="O31" s="172">
        <v>7480</v>
      </c>
    </row>
    <row r="32" spans="2:15" x14ac:dyDescent="0.25">
      <c r="B32" s="172" t="s">
        <v>3</v>
      </c>
      <c r="C32" s="172">
        <f t="shared" ref="C32:F32" si="17">SUM(C28:C31)</f>
        <v>6510.8180000000284</v>
      </c>
      <c r="D32" s="172">
        <f t="shared" si="17"/>
        <v>16194.945999999991</v>
      </c>
      <c r="E32" s="172">
        <f t="shared" si="17"/>
        <v>70426.621999999974</v>
      </c>
      <c r="F32" s="172">
        <f t="shared" si="17"/>
        <v>52778</v>
      </c>
      <c r="G32" s="172">
        <f>SUM(G28:G31)</f>
        <v>169919</v>
      </c>
      <c r="H32" s="172"/>
      <c r="I32" s="172"/>
      <c r="J32" s="172" t="s">
        <v>3</v>
      </c>
      <c r="K32" s="172">
        <f t="shared" ref="K32" si="18">SUM(K28:K31)</f>
        <v>1323.8751525010225</v>
      </c>
      <c r="L32" s="172">
        <f t="shared" ref="L32" si="19">SUM(L28:L31)</f>
        <v>3664.8959971533113</v>
      </c>
      <c r="M32" s="172">
        <f t="shared" ref="M32" si="20">SUM(M28:M31)</f>
        <v>23747.515345690557</v>
      </c>
      <c r="N32" s="172">
        <f t="shared" ref="N32" si="21">SUM(N28:N31)</f>
        <v>4507.131901840492</v>
      </c>
      <c r="O32" s="172">
        <f>SUM(O28:O31)</f>
        <v>68266.055380742604</v>
      </c>
    </row>
    <row r="33" spans="2:15" x14ac:dyDescent="0.25">
      <c r="B33" s="172" t="s">
        <v>109</v>
      </c>
      <c r="C33" s="172">
        <f t="shared" ref="C33:F33" si="22">C32/C6</f>
        <v>0.14035094148452473</v>
      </c>
      <c r="D33" s="172">
        <f t="shared" si="22"/>
        <v>0.27509939113396625</v>
      </c>
      <c r="E33" s="172">
        <f t="shared" si="22"/>
        <v>0.61249894527371207</v>
      </c>
      <c r="F33" s="172">
        <f t="shared" si="22"/>
        <v>0.30416791535074578</v>
      </c>
      <c r="G33" s="172">
        <f>G32/G6</f>
        <v>0.69652351067623686</v>
      </c>
      <c r="H33" s="172"/>
      <c r="I33" s="172"/>
      <c r="J33" s="172" t="s">
        <v>109</v>
      </c>
      <c r="K33" s="172">
        <f t="shared" ref="K33" si="23">K32/K6</f>
        <v>0.14035094148452473</v>
      </c>
      <c r="L33" s="172">
        <f t="shared" ref="L33" si="24">L32/L6</f>
        <v>0.30616835727795982</v>
      </c>
      <c r="M33" s="172">
        <f t="shared" ref="M33" si="25">M32/M6</f>
        <v>1.7660523402800004</v>
      </c>
      <c r="N33" s="172">
        <f t="shared" ref="N33" si="26">N32/N6</f>
        <v>0.33871804329283761</v>
      </c>
      <c r="O33" s="172">
        <f>O32/O6</f>
        <v>4.4465434735379352</v>
      </c>
    </row>
    <row r="36" spans="2:15" ht="15.75" thickBot="1" x14ac:dyDescent="0.3">
      <c r="B36" s="86" t="s">
        <v>111</v>
      </c>
      <c r="C36" s="5"/>
      <c r="D36" s="5"/>
      <c r="E36" s="3"/>
      <c r="F36" s="3"/>
      <c r="G36" s="3"/>
      <c r="J36" s="86" t="s">
        <v>119</v>
      </c>
    </row>
    <row r="37" spans="2:15" ht="15.75" thickBot="1" x14ac:dyDescent="0.3">
      <c r="B37" s="7" t="s">
        <v>2</v>
      </c>
      <c r="C37" s="86" t="s">
        <v>114</v>
      </c>
      <c r="D37" s="86" t="s">
        <v>113</v>
      </c>
      <c r="E37" s="86" t="s">
        <v>112</v>
      </c>
      <c r="F37" s="86" t="s">
        <v>90</v>
      </c>
      <c r="G37" s="87" t="s">
        <v>91</v>
      </c>
      <c r="J37" s="7" t="s">
        <v>2</v>
      </c>
      <c r="K37" s="13">
        <v>2012</v>
      </c>
      <c r="L37" s="13">
        <v>2013</v>
      </c>
      <c r="M37" s="13">
        <v>2014</v>
      </c>
      <c r="N37" s="13">
        <v>2015</v>
      </c>
      <c r="O37" s="13">
        <v>2016</v>
      </c>
    </row>
    <row r="38" spans="2:15" x14ac:dyDescent="0.25">
      <c r="B38" s="92" t="s">
        <v>121</v>
      </c>
      <c r="C38" s="3">
        <v>314665.46799999999</v>
      </c>
      <c r="D38" s="3">
        <v>389872.47100000002</v>
      </c>
      <c r="E38" s="3">
        <v>537571</v>
      </c>
      <c r="F38" s="3">
        <v>734713</v>
      </c>
      <c r="G38" s="3">
        <v>909814</v>
      </c>
      <c r="J38" s="92" t="s">
        <v>121</v>
      </c>
      <c r="K38" s="3">
        <f>C38/$K$22</f>
        <v>63982.40504270028</v>
      </c>
      <c r="L38" s="3">
        <f>D38/$L$22</f>
        <v>79274.597600650668</v>
      </c>
      <c r="M38" s="3">
        <f>E38/$M$22</f>
        <v>62866.448368611855</v>
      </c>
      <c r="N38" s="3">
        <f>F38/$N$22</f>
        <v>56343.02147239264</v>
      </c>
      <c r="O38" s="3">
        <f>G38/$O$22</f>
        <v>57257.016991818753</v>
      </c>
    </row>
    <row r="39" spans="2:15" ht="15.75" thickBot="1" x14ac:dyDescent="0.3">
      <c r="B39" s="97" t="s">
        <v>122</v>
      </c>
      <c r="C39" s="98">
        <v>233472.212</v>
      </c>
      <c r="D39" s="98">
        <v>279926.49900000001</v>
      </c>
      <c r="E39" s="98">
        <v>392041</v>
      </c>
      <c r="F39" s="98">
        <v>515664</v>
      </c>
      <c r="G39" s="98">
        <v>611186</v>
      </c>
      <c r="J39" s="97" t="s">
        <v>122</v>
      </c>
      <c r="K39" s="98">
        <f t="shared" ref="K39:K47" si="27">C39/$K$22</f>
        <v>47472.99959333062</v>
      </c>
      <c r="L39" s="98">
        <f t="shared" ref="L39:L47" si="28">D39/$L$22</f>
        <v>56918.767588450588</v>
      </c>
      <c r="M39" s="98">
        <f t="shared" ref="M39:M47" si="29">E39/$M$22</f>
        <v>45847.386270611627</v>
      </c>
      <c r="N39" s="98">
        <f t="shared" ref="N39:N47" si="30">F39/$N$22</f>
        <v>39544.78527607362</v>
      </c>
      <c r="O39" s="98">
        <f t="shared" ref="O39:O47" si="31">G39/$O$22</f>
        <v>38463.561988672118</v>
      </c>
    </row>
    <row r="40" spans="2:15" ht="15.75" thickTop="1" x14ac:dyDescent="0.25">
      <c r="B40" s="99" t="s">
        <v>123</v>
      </c>
      <c r="C40" s="100">
        <v>187729.139</v>
      </c>
      <c r="D40" s="100">
        <v>253976.81200000001</v>
      </c>
      <c r="E40" s="100">
        <v>344028</v>
      </c>
      <c r="F40" s="100">
        <v>470291</v>
      </c>
      <c r="G40" s="100">
        <v>561637</v>
      </c>
      <c r="J40" s="99" t="s">
        <v>123</v>
      </c>
      <c r="K40" s="100">
        <f t="shared" si="27"/>
        <v>38171.846075640504</v>
      </c>
      <c r="L40" s="100">
        <f t="shared" si="28"/>
        <v>51642.296055307037</v>
      </c>
      <c r="M40" s="100">
        <f t="shared" si="29"/>
        <v>40232.487428370951</v>
      </c>
      <c r="N40" s="100">
        <f t="shared" si="30"/>
        <v>36065.260736196324</v>
      </c>
      <c r="O40" s="100">
        <f t="shared" si="31"/>
        <v>35345.311516677153</v>
      </c>
    </row>
    <row r="41" spans="2:15" ht="15.75" thickBot="1" x14ac:dyDescent="0.3">
      <c r="B41" s="97" t="s">
        <v>124</v>
      </c>
      <c r="C41" s="98">
        <v>173249.71799999999</v>
      </c>
      <c r="D41" s="98">
        <v>238254.77799999999</v>
      </c>
      <c r="E41" s="98">
        <v>322057</v>
      </c>
      <c r="F41" s="98">
        <v>434767</v>
      </c>
      <c r="G41" s="98">
        <v>526164</v>
      </c>
      <c r="J41" s="97" t="s">
        <v>124</v>
      </c>
      <c r="K41" s="98">
        <f t="shared" si="27"/>
        <v>35227.677511183407</v>
      </c>
      <c r="L41" s="98">
        <f t="shared" si="28"/>
        <v>48445.461163074418</v>
      </c>
      <c r="M41" s="98">
        <f t="shared" si="29"/>
        <v>37663.080341480527</v>
      </c>
      <c r="N41" s="98">
        <f t="shared" si="30"/>
        <v>33341.027607361968</v>
      </c>
      <c r="O41" s="98">
        <f t="shared" si="31"/>
        <v>33112.90119572058</v>
      </c>
    </row>
    <row r="42" spans="2:15" ht="15.75" thickTop="1" x14ac:dyDescent="0.25">
      <c r="B42" s="99" t="s">
        <v>125</v>
      </c>
      <c r="C42" s="100">
        <v>38513.283000000003</v>
      </c>
      <c r="D42" s="100">
        <v>28798.329000000002</v>
      </c>
      <c r="E42" s="100">
        <v>23639</v>
      </c>
      <c r="F42" s="100">
        <v>18215</v>
      </c>
      <c r="G42" s="100">
        <v>24349</v>
      </c>
      <c r="J42" s="105" t="s">
        <v>125</v>
      </c>
      <c r="K42" s="100">
        <f t="shared" si="27"/>
        <v>7831.0864172427819</v>
      </c>
      <c r="L42" s="100">
        <f t="shared" si="28"/>
        <v>5855.69926799512</v>
      </c>
      <c r="M42" s="100">
        <f t="shared" si="29"/>
        <v>2764.4719915799319</v>
      </c>
      <c r="N42" s="100">
        <f t="shared" si="30"/>
        <v>1396.8558282208589</v>
      </c>
      <c r="O42" s="100">
        <f t="shared" si="31"/>
        <v>1532.3473882945248</v>
      </c>
    </row>
    <row r="43" spans="2:15" x14ac:dyDescent="0.25">
      <c r="B43" s="5" t="s">
        <v>126</v>
      </c>
      <c r="C43" s="3">
        <v>14.417</v>
      </c>
      <c r="D43" s="3">
        <v>878.38</v>
      </c>
      <c r="E43" s="3">
        <v>5513</v>
      </c>
      <c r="F43" s="3">
        <v>12212</v>
      </c>
      <c r="G43" s="3">
        <v>9328</v>
      </c>
      <c r="J43" s="5" t="s">
        <v>126</v>
      </c>
      <c r="K43" s="3">
        <f t="shared" si="27"/>
        <v>2.9314762098413989</v>
      </c>
      <c r="L43" s="3">
        <f t="shared" si="28"/>
        <v>178.60512403416021</v>
      </c>
      <c r="M43" s="3">
        <f t="shared" si="29"/>
        <v>644.71991579932171</v>
      </c>
      <c r="N43" s="3">
        <f t="shared" si="30"/>
        <v>936.50306748466267</v>
      </c>
      <c r="O43" s="3">
        <f t="shared" si="31"/>
        <v>587.03587161736937</v>
      </c>
    </row>
    <row r="44" spans="2:15" ht="15.75" thickBot="1" x14ac:dyDescent="0.3">
      <c r="B44" s="97" t="s">
        <v>127</v>
      </c>
      <c r="C44" s="101">
        <f>C42+C43</f>
        <v>38527.700000000004</v>
      </c>
      <c r="D44" s="101">
        <f>D42+D43</f>
        <v>29676.709000000003</v>
      </c>
      <c r="E44" s="101">
        <f>E42+E43</f>
        <v>29152</v>
      </c>
      <c r="F44" s="101">
        <f>F42+F43</f>
        <v>30427</v>
      </c>
      <c r="G44" s="101">
        <f>G42+G43</f>
        <v>33677</v>
      </c>
      <c r="J44" s="97" t="s">
        <v>127</v>
      </c>
      <c r="K44" s="101">
        <f t="shared" si="27"/>
        <v>7834.0178934526239</v>
      </c>
      <c r="L44" s="101">
        <f t="shared" si="28"/>
        <v>6034.3043920292803</v>
      </c>
      <c r="M44" s="101">
        <f t="shared" si="29"/>
        <v>3409.1919073792537</v>
      </c>
      <c r="N44" s="101">
        <f t="shared" si="30"/>
        <v>2333.3588957055217</v>
      </c>
      <c r="O44" s="101">
        <f t="shared" si="31"/>
        <v>2119.3832599118941</v>
      </c>
    </row>
    <row r="45" spans="2:15" ht="15.75" thickTop="1" x14ac:dyDescent="0.25">
      <c r="B45" s="99" t="s">
        <v>128</v>
      </c>
      <c r="C45" s="104">
        <v>41888.661999999997</v>
      </c>
      <c r="D45" s="104">
        <v>65861.744999999995</v>
      </c>
      <c r="E45" s="104">
        <v>68419</v>
      </c>
      <c r="F45" s="104">
        <v>133137</v>
      </c>
      <c r="G45" s="104">
        <v>67359</v>
      </c>
      <c r="J45" s="99" t="s">
        <v>128</v>
      </c>
      <c r="K45" s="104">
        <f t="shared" si="27"/>
        <v>8517.4180561203739</v>
      </c>
      <c r="L45" s="104">
        <f t="shared" si="28"/>
        <v>13391.97742984953</v>
      </c>
      <c r="M45" s="104">
        <f t="shared" si="29"/>
        <v>8001.2863992515495</v>
      </c>
      <c r="N45" s="104">
        <f t="shared" si="30"/>
        <v>10209.89263803681</v>
      </c>
      <c r="O45" s="104">
        <f t="shared" si="31"/>
        <v>4239.0811831340461</v>
      </c>
    </row>
    <row r="46" spans="2:15" ht="15.75" thickBot="1" x14ac:dyDescent="0.3">
      <c r="B46" s="97" t="s">
        <v>129</v>
      </c>
      <c r="C46" s="101">
        <f>C45-C44</f>
        <v>3360.9619999999923</v>
      </c>
      <c r="D46" s="101">
        <f t="shared" ref="D46:G46" si="32">D45-D44</f>
        <v>36185.035999999993</v>
      </c>
      <c r="E46" s="101">
        <f t="shared" si="32"/>
        <v>39267</v>
      </c>
      <c r="F46" s="101">
        <f t="shared" si="32"/>
        <v>102710</v>
      </c>
      <c r="G46" s="101">
        <f t="shared" si="32"/>
        <v>33682</v>
      </c>
      <c r="J46" s="97" t="s">
        <v>129</v>
      </c>
      <c r="K46" s="101">
        <f t="shared" si="27"/>
        <v>683.40016266774956</v>
      </c>
      <c r="L46" s="101">
        <f t="shared" si="28"/>
        <v>7357.6730378202501</v>
      </c>
      <c r="M46" s="101">
        <f t="shared" si="29"/>
        <v>4592.0944918722953</v>
      </c>
      <c r="N46" s="101">
        <f t="shared" si="30"/>
        <v>7876.5337423312885</v>
      </c>
      <c r="O46" s="101">
        <f t="shared" si="31"/>
        <v>2119.6979232221524</v>
      </c>
    </row>
    <row r="47" spans="2:15" ht="15.75" thickTop="1" x14ac:dyDescent="0.25">
      <c r="B47" s="102" t="s">
        <v>130</v>
      </c>
      <c r="C47" s="103">
        <f>C38-C40</f>
        <v>126936.329</v>
      </c>
      <c r="D47" s="103">
        <f>D38-D40</f>
        <v>135895.65900000001</v>
      </c>
      <c r="E47" s="103">
        <f>E38-E40</f>
        <v>193543</v>
      </c>
      <c r="F47" s="103">
        <f t="shared" ref="F47:G47" si="33">F38-F40</f>
        <v>264422</v>
      </c>
      <c r="G47" s="103">
        <f t="shared" si="33"/>
        <v>348177</v>
      </c>
      <c r="J47" s="102" t="s">
        <v>130</v>
      </c>
      <c r="K47" s="103">
        <f t="shared" si="27"/>
        <v>25810.55896705978</v>
      </c>
      <c r="L47" s="103">
        <f t="shared" si="28"/>
        <v>27632.301545343638</v>
      </c>
      <c r="M47" s="103">
        <f t="shared" si="29"/>
        <v>22633.960940240908</v>
      </c>
      <c r="N47" s="103">
        <f t="shared" si="30"/>
        <v>20277.76073619632</v>
      </c>
      <c r="O47" s="103">
        <f t="shared" si="31"/>
        <v>21911.705475141596</v>
      </c>
    </row>
    <row r="48" spans="2:15" ht="15.75" thickBot="1" x14ac:dyDescent="0.3">
      <c r="B48" s="1"/>
      <c r="C48" s="1"/>
      <c r="D48" s="1"/>
      <c r="E48" s="2"/>
      <c r="F48" s="2"/>
      <c r="G48" s="2"/>
    </row>
    <row r="49" spans="2:8" ht="15.75" thickBot="1" x14ac:dyDescent="0.3">
      <c r="B49" s="116"/>
      <c r="C49" s="117" t="s">
        <v>114</v>
      </c>
      <c r="D49" s="117" t="s">
        <v>113</v>
      </c>
      <c r="E49" s="117" t="s">
        <v>112</v>
      </c>
      <c r="F49" s="117" t="s">
        <v>90</v>
      </c>
      <c r="G49" s="118" t="s">
        <v>91</v>
      </c>
    </row>
    <row r="50" spans="2:8" x14ac:dyDescent="0.25">
      <c r="B50" s="113" t="s">
        <v>131</v>
      </c>
      <c r="C50" s="114">
        <v>1.42</v>
      </c>
      <c r="D50" s="114">
        <v>3.16</v>
      </c>
      <c r="E50" s="115">
        <v>3.38</v>
      </c>
      <c r="F50" s="115">
        <v>19.149999999999999</v>
      </c>
      <c r="G50" s="115">
        <v>17.48</v>
      </c>
    </row>
    <row r="51" spans="2:8" x14ac:dyDescent="0.25">
      <c r="B51" s="106" t="s">
        <v>115</v>
      </c>
      <c r="C51" s="107">
        <f>K22</f>
        <v>4.9180000000000001</v>
      </c>
      <c r="D51" s="107">
        <f t="shared" ref="D51:G51" si="34">L22</f>
        <v>4.9180000000000001</v>
      </c>
      <c r="E51" s="107">
        <f t="shared" si="34"/>
        <v>8.5510000000000002</v>
      </c>
      <c r="F51" s="107">
        <f t="shared" si="34"/>
        <v>13.04</v>
      </c>
      <c r="G51" s="107">
        <f t="shared" si="34"/>
        <v>15.89</v>
      </c>
    </row>
    <row r="52" spans="2:8" x14ac:dyDescent="0.25">
      <c r="B52" s="106" t="s">
        <v>132</v>
      </c>
      <c r="C52" s="108">
        <f>C50/C51</f>
        <v>0.28873525823505486</v>
      </c>
      <c r="D52" s="108">
        <f t="shared" ref="D52:G52" si="35">D50/D51</f>
        <v>0.64253761691744615</v>
      </c>
      <c r="E52" s="108">
        <f t="shared" si="35"/>
        <v>0.39527540638521808</v>
      </c>
      <c r="F52" s="108">
        <f t="shared" si="35"/>
        <v>1.468558282208589</v>
      </c>
      <c r="G52" s="108">
        <f t="shared" si="35"/>
        <v>1.1000629326620517</v>
      </c>
    </row>
    <row r="53" spans="2:8" x14ac:dyDescent="0.25">
      <c r="B53" s="106" t="s">
        <v>105</v>
      </c>
      <c r="C53" s="109">
        <f>C21*1000</f>
        <v>55986360</v>
      </c>
      <c r="D53" s="109">
        <f t="shared" ref="D53:G53" si="36">D21*1000</f>
        <v>55986360</v>
      </c>
      <c r="E53" s="109">
        <f t="shared" si="36"/>
        <v>55986360</v>
      </c>
      <c r="F53" s="109">
        <f t="shared" si="36"/>
        <v>55986360</v>
      </c>
      <c r="G53" s="109">
        <f t="shared" si="36"/>
        <v>83979540</v>
      </c>
    </row>
    <row r="54" spans="2:8" x14ac:dyDescent="0.25">
      <c r="B54" s="106" t="s">
        <v>133</v>
      </c>
      <c r="C54" s="110">
        <f>C50*C53</f>
        <v>79500631.200000003</v>
      </c>
      <c r="D54" s="110">
        <f t="shared" ref="D54:G54" si="37">D50*D53</f>
        <v>176916897.59999999</v>
      </c>
      <c r="E54" s="110">
        <f t="shared" si="37"/>
        <v>189233896.79999998</v>
      </c>
      <c r="F54" s="110">
        <f t="shared" si="37"/>
        <v>1072138793.9999999</v>
      </c>
      <c r="G54" s="110">
        <f t="shared" si="37"/>
        <v>1467962359.2</v>
      </c>
      <c r="H54" s="3"/>
    </row>
    <row r="55" spans="2:8" x14ac:dyDescent="0.25">
      <c r="B55" s="106" t="s">
        <v>149</v>
      </c>
      <c r="C55" s="110">
        <f>C54/C51</f>
        <v>16165236.112240748</v>
      </c>
      <c r="D55" s="110">
        <f t="shared" ref="D55:G55" si="38">D54/D51</f>
        <v>35973342.334282227</v>
      </c>
      <c r="E55" s="110">
        <f t="shared" si="38"/>
        <v>22130031.201029118</v>
      </c>
      <c r="F55" s="110">
        <f t="shared" si="38"/>
        <v>82219232.668711647</v>
      </c>
      <c r="G55" s="110">
        <f t="shared" si="38"/>
        <v>92382779.056010067</v>
      </c>
      <c r="H55" s="3"/>
    </row>
    <row r="56" spans="2:8" x14ac:dyDescent="0.25">
      <c r="B56" s="106" t="s">
        <v>127</v>
      </c>
      <c r="C56" s="110">
        <f>C44</f>
        <v>38527.700000000004</v>
      </c>
      <c r="D56" s="110">
        <f t="shared" ref="D56:G56" si="39">D44</f>
        <v>29676.709000000003</v>
      </c>
      <c r="E56" s="110">
        <f t="shared" si="39"/>
        <v>29152</v>
      </c>
      <c r="F56" s="110">
        <f t="shared" si="39"/>
        <v>30427</v>
      </c>
      <c r="G56" s="110">
        <f t="shared" si="39"/>
        <v>33677</v>
      </c>
      <c r="H56" s="3"/>
    </row>
    <row r="57" spans="2:8" x14ac:dyDescent="0.25">
      <c r="B57" s="177" t="s">
        <v>134</v>
      </c>
      <c r="C57" s="179">
        <f>C44-C45</f>
        <v>-3360.9619999999923</v>
      </c>
      <c r="D57" s="179">
        <f t="shared" ref="D57:G57" si="40">D44-D45</f>
        <v>-36185.035999999993</v>
      </c>
      <c r="E57" s="179">
        <f t="shared" si="40"/>
        <v>-39267</v>
      </c>
      <c r="F57" s="179">
        <f t="shared" si="40"/>
        <v>-102710</v>
      </c>
      <c r="G57" s="179">
        <f t="shared" si="40"/>
        <v>-33682</v>
      </c>
      <c r="H57" s="3" t="s">
        <v>147</v>
      </c>
    </row>
    <row r="58" spans="2:8" x14ac:dyDescent="0.25">
      <c r="B58" s="106" t="s">
        <v>3</v>
      </c>
      <c r="C58" s="110">
        <f>C25</f>
        <v>26123.334000000028</v>
      </c>
      <c r="D58" s="110">
        <f t="shared" ref="D58:G58" si="41">D25</f>
        <v>26237.958999999988</v>
      </c>
      <c r="E58" s="110">
        <f t="shared" si="41"/>
        <v>85371.544999999969</v>
      </c>
      <c r="F58" s="110">
        <f t="shared" si="41"/>
        <v>114804</v>
      </c>
      <c r="G58" s="110">
        <f t="shared" si="41"/>
        <v>193668</v>
      </c>
      <c r="H58" s="6"/>
    </row>
    <row r="59" spans="2:8" x14ac:dyDescent="0.25">
      <c r="B59" s="106" t="s">
        <v>135</v>
      </c>
      <c r="C59" s="110">
        <f>C18</f>
        <v>5774.8730000000287</v>
      </c>
      <c r="D59" s="110">
        <f t="shared" ref="D59:G59" si="42">D18</f>
        <v>14331.43399999999</v>
      </c>
      <c r="E59" s="110">
        <f t="shared" si="42"/>
        <v>48525.059999999969</v>
      </c>
      <c r="F59" s="110">
        <f t="shared" si="42"/>
        <v>53828</v>
      </c>
      <c r="G59" s="110">
        <f t="shared" si="42"/>
        <v>122481</v>
      </c>
      <c r="H59" s="6"/>
    </row>
    <row r="60" spans="2:8" x14ac:dyDescent="0.25">
      <c r="B60" s="106" t="s">
        <v>104</v>
      </c>
      <c r="C60" s="111">
        <f>C20</f>
        <v>0.10314785601350095</v>
      </c>
      <c r="D60" s="111">
        <f t="shared" ref="D60:G60" si="43">D20</f>
        <v>0.25598081389824218</v>
      </c>
      <c r="E60" s="111">
        <f t="shared" si="43"/>
        <v>0.8667300392452727</v>
      </c>
      <c r="F60" s="111">
        <f t="shared" si="43"/>
        <v>0.96144846709091281</v>
      </c>
      <c r="G60" s="111">
        <f t="shared" si="43"/>
        <v>1.4584623826231962</v>
      </c>
      <c r="H60" s="2"/>
    </row>
    <row r="61" spans="2:8" x14ac:dyDescent="0.25">
      <c r="B61" s="106" t="s">
        <v>136</v>
      </c>
      <c r="C61" s="112">
        <f>(C50/C60)</f>
        <v>13.76664581195112</v>
      </c>
      <c r="D61" s="112">
        <f>(D50/D60)</f>
        <v>12.344675180446014</v>
      </c>
      <c r="E61" s="112">
        <f>(E50/E60)</f>
        <v>3.8997148442474905</v>
      </c>
      <c r="F61" s="112">
        <f>(F50/F60)</f>
        <v>19.917864197072156</v>
      </c>
      <c r="G61" s="112">
        <f>(G50/G60)</f>
        <v>11.985225130428393</v>
      </c>
      <c r="H61" s="119">
        <f>1/G61</f>
        <v>8.3436063079130207E-2</v>
      </c>
    </row>
    <row r="62" spans="2:8" x14ac:dyDescent="0.25">
      <c r="B62" s="177" t="s">
        <v>137</v>
      </c>
      <c r="C62" s="178">
        <f>(C54/1000)+C57</f>
        <v>76139.669200000004</v>
      </c>
      <c r="D62" s="178">
        <f>(D54/1000)+D57</f>
        <v>140731.8616</v>
      </c>
      <c r="E62" s="178">
        <f t="shared" ref="E62:G62" si="44">(E54/1000)+E57</f>
        <v>149966.89679999999</v>
      </c>
      <c r="F62" s="178">
        <f t="shared" si="44"/>
        <v>969428.79399999999</v>
      </c>
      <c r="G62" s="178">
        <f t="shared" si="44"/>
        <v>1434280.3592000001</v>
      </c>
      <c r="H62" s="2"/>
    </row>
    <row r="63" spans="2:8" x14ac:dyDescent="0.25">
      <c r="B63" s="177" t="s">
        <v>138</v>
      </c>
      <c r="C63" s="180">
        <f>C62/C58</f>
        <v>2.9146229650472608</v>
      </c>
      <c r="D63" s="180">
        <f t="shared" ref="D63:G63" si="45">D62/D58</f>
        <v>5.3636741180973742</v>
      </c>
      <c r="E63" s="180">
        <f t="shared" si="45"/>
        <v>1.7566379617470909</v>
      </c>
      <c r="F63" s="180">
        <f t="shared" si="45"/>
        <v>8.4442074666387938</v>
      </c>
      <c r="G63" s="180">
        <f t="shared" si="45"/>
        <v>7.4058716938265485</v>
      </c>
      <c r="H63" s="4"/>
    </row>
    <row r="64" spans="2:8" x14ac:dyDescent="0.25">
      <c r="B64" s="106" t="s">
        <v>139</v>
      </c>
      <c r="C64" s="112">
        <f>C59/C38</f>
        <v>1.8352420545873271E-2</v>
      </c>
      <c r="D64" s="112">
        <f t="shared" ref="D64:G64" si="46">D59/D38</f>
        <v>3.6759286859215021E-2</v>
      </c>
      <c r="E64" s="112">
        <f t="shared" si="46"/>
        <v>9.0267257720375485E-2</v>
      </c>
      <c r="F64" s="112">
        <f t="shared" si="46"/>
        <v>7.3263981990246529E-2</v>
      </c>
      <c r="G64" s="112">
        <f t="shared" si="46"/>
        <v>0.13462202164398437</v>
      </c>
      <c r="H64" s="3"/>
    </row>
    <row r="65" spans="2:8" x14ac:dyDescent="0.25">
      <c r="B65" s="106" t="s">
        <v>140</v>
      </c>
      <c r="C65" s="112">
        <f>C59/C47</f>
        <v>4.5494249325581403E-2</v>
      </c>
      <c r="D65" s="112">
        <f t="shared" ref="D65:G65" si="47">D59/D47</f>
        <v>0.10545910079438217</v>
      </c>
      <c r="E65" s="112">
        <f t="shared" si="47"/>
        <v>0.25071978836744274</v>
      </c>
      <c r="F65" s="112">
        <f t="shared" si="47"/>
        <v>0.20356853817004636</v>
      </c>
      <c r="G65" s="112">
        <f t="shared" si="47"/>
        <v>0.35177797499547642</v>
      </c>
      <c r="H65" s="3"/>
    </row>
    <row r="66" spans="2:8" x14ac:dyDescent="0.25">
      <c r="B66" s="106" t="s">
        <v>148</v>
      </c>
      <c r="C66" s="112">
        <f>C56/C58</f>
        <v>1.4748385485558606</v>
      </c>
      <c r="D66" s="112">
        <f t="shared" ref="D66:G66" si="48">D56/D58</f>
        <v>1.1310601179001771</v>
      </c>
      <c r="E66" s="112">
        <f t="shared" si="48"/>
        <v>0.34147209119853705</v>
      </c>
      <c r="F66" s="112">
        <f t="shared" si="48"/>
        <v>0.26503431936169469</v>
      </c>
      <c r="G66" s="112">
        <f t="shared" si="48"/>
        <v>0.17389036908523867</v>
      </c>
      <c r="H66" s="6"/>
    </row>
    <row r="67" spans="2:8" x14ac:dyDescent="0.25">
      <c r="B67" s="106" t="s">
        <v>141</v>
      </c>
      <c r="C67" s="112">
        <f>C57/C58</f>
        <v>-0.12865746768769976</v>
      </c>
      <c r="D67" s="112">
        <f t="shared" ref="D67:G67" si="49">D57/D58</f>
        <v>-1.3791101663052376</v>
      </c>
      <c r="E67" s="112">
        <f t="shared" si="49"/>
        <v>-0.45995419199687687</v>
      </c>
      <c r="F67" s="112">
        <f t="shared" si="49"/>
        <v>-0.89465523849343231</v>
      </c>
      <c r="G67" s="112">
        <f t="shared" si="49"/>
        <v>-0.17391618646343227</v>
      </c>
      <c r="H67" s="3" t="s">
        <v>147</v>
      </c>
    </row>
    <row r="68" spans="2:8" x14ac:dyDescent="0.25">
      <c r="B68" s="106" t="s">
        <v>142</v>
      </c>
      <c r="C68" s="112">
        <f>C62/C4</f>
        <v>0.17771705495269322</v>
      </c>
      <c r="D68" s="112">
        <f t="shared" ref="D68:G68" si="50">D62/D4</f>
        <v>0.24841085323074624</v>
      </c>
      <c r="E68" s="112">
        <f t="shared" si="50"/>
        <v>0.1914341585790667</v>
      </c>
      <c r="F68" s="112">
        <f t="shared" si="50"/>
        <v>0.87567547494995768</v>
      </c>
      <c r="G68" s="112">
        <f t="shared" si="50"/>
        <v>0.91704439455891051</v>
      </c>
      <c r="H68" s="2"/>
    </row>
    <row r="69" spans="2:8" hidden="1" x14ac:dyDescent="0.25">
      <c r="B69" s="1" t="s">
        <v>143</v>
      </c>
      <c r="C69" s="93"/>
      <c r="D69" s="93"/>
      <c r="E69" s="93"/>
      <c r="F69" s="93"/>
      <c r="G69" s="93"/>
      <c r="H69" s="2"/>
    </row>
    <row r="70" spans="2:8" hidden="1" x14ac:dyDescent="0.25">
      <c r="B70" s="1" t="s">
        <v>144</v>
      </c>
      <c r="C70" s="93"/>
      <c r="D70" s="93"/>
      <c r="E70" s="93"/>
      <c r="F70" s="93"/>
      <c r="G70" s="93"/>
      <c r="H70" s="2"/>
    </row>
    <row r="71" spans="2:8" hidden="1" x14ac:dyDescent="0.25">
      <c r="B71" s="1" t="s">
        <v>145</v>
      </c>
      <c r="C71" s="94"/>
      <c r="D71" s="94"/>
      <c r="E71" s="94"/>
      <c r="F71" s="94"/>
      <c r="G71" s="94"/>
      <c r="H71" s="4"/>
    </row>
    <row r="72" spans="2:8" hidden="1" x14ac:dyDescent="0.25">
      <c r="B72" s="1" t="s">
        <v>146</v>
      </c>
      <c r="C72" s="91"/>
      <c r="D72" s="91"/>
      <c r="E72" s="91"/>
      <c r="F72" s="91"/>
      <c r="G72" s="91"/>
    </row>
    <row r="73" spans="2:8" x14ac:dyDescent="0.25">
      <c r="B73" s="1"/>
    </row>
    <row r="74" spans="2:8" x14ac:dyDescent="0.25">
      <c r="B74" s="1"/>
    </row>
    <row r="75" spans="2:8" ht="15.75" thickBot="1" x14ac:dyDescent="0.3"/>
    <row r="76" spans="2:8" x14ac:dyDescent="0.25">
      <c r="B76" s="208" t="s">
        <v>3</v>
      </c>
      <c r="C76" s="209"/>
      <c r="D76" s="209"/>
      <c r="E76" s="209"/>
      <c r="F76" s="209"/>
      <c r="G76" s="210"/>
    </row>
    <row r="77" spans="2:8" x14ac:dyDescent="0.25">
      <c r="B77" s="203" t="s">
        <v>97</v>
      </c>
      <c r="C77" s="201">
        <v>25387.389000000028</v>
      </c>
      <c r="D77" s="201">
        <v>24841.26999999999</v>
      </c>
      <c r="E77" s="201">
        <v>81035.653999999966</v>
      </c>
      <c r="F77" s="201">
        <v>109859</v>
      </c>
      <c r="G77" s="204">
        <v>186188</v>
      </c>
    </row>
    <row r="78" spans="2:8" x14ac:dyDescent="0.25">
      <c r="B78" s="138" t="s">
        <v>108</v>
      </c>
      <c r="C78" s="3">
        <v>735.94500000000005</v>
      </c>
      <c r="D78" s="3">
        <v>1396.6890000000001</v>
      </c>
      <c r="E78" s="3">
        <v>4335.8909999999996</v>
      </c>
      <c r="F78" s="3">
        <v>4945</v>
      </c>
      <c r="G78" s="122">
        <v>7480</v>
      </c>
    </row>
    <row r="79" spans="2:8" ht="15.75" thickBot="1" x14ac:dyDescent="0.3">
      <c r="B79" s="205" t="s">
        <v>156</v>
      </c>
      <c r="C79" s="206">
        <f>C77+C78</f>
        <v>26123.334000000028</v>
      </c>
      <c r="D79" s="206">
        <f t="shared" ref="D79:G79" si="51">D77+D78</f>
        <v>26237.958999999988</v>
      </c>
      <c r="E79" s="206">
        <f t="shared" si="51"/>
        <v>85371.544999999969</v>
      </c>
      <c r="F79" s="206">
        <f t="shared" si="51"/>
        <v>114804</v>
      </c>
      <c r="G79" s="207">
        <f t="shared" si="51"/>
        <v>193668</v>
      </c>
    </row>
    <row r="80" spans="2:8" ht="15.75" thickBot="1" x14ac:dyDescent="0.3"/>
    <row r="81" spans="2:7" x14ac:dyDescent="0.25">
      <c r="B81" s="208" t="s">
        <v>3</v>
      </c>
      <c r="C81" s="209"/>
      <c r="D81" s="209"/>
      <c r="E81" s="209"/>
      <c r="F81" s="209"/>
      <c r="G81" s="210"/>
    </row>
    <row r="82" spans="2:7" x14ac:dyDescent="0.25">
      <c r="B82" s="141" t="s">
        <v>102</v>
      </c>
      <c r="C82" s="212">
        <v>5774.8730000000287</v>
      </c>
      <c r="D82" s="212">
        <v>14331.43399999999</v>
      </c>
      <c r="E82" s="212">
        <v>48525.059999999969</v>
      </c>
      <c r="F82" s="212">
        <v>53828</v>
      </c>
      <c r="G82" s="213">
        <v>122481</v>
      </c>
    </row>
    <row r="83" spans="2:7" x14ac:dyDescent="0.25">
      <c r="B83" s="138" t="s">
        <v>110</v>
      </c>
      <c r="C83" s="3">
        <v>10046.295</v>
      </c>
      <c r="D83" s="3">
        <v>5038.7659999999996</v>
      </c>
      <c r="E83" s="3">
        <v>8631.9339999999993</v>
      </c>
      <c r="F83" s="3">
        <v>23142</v>
      </c>
      <c r="G83" s="122">
        <v>10629</v>
      </c>
    </row>
    <row r="84" spans="2:7" x14ac:dyDescent="0.25">
      <c r="B84" s="138" t="s">
        <v>1</v>
      </c>
      <c r="C84" s="3">
        <f>-9566.221*-1</f>
        <v>9566.2209999999995</v>
      </c>
      <c r="D84" s="3">
        <f>-5471.07*-1</f>
        <v>5471.07</v>
      </c>
      <c r="E84" s="3">
        <f>-23878.66*-1</f>
        <v>23878.66</v>
      </c>
      <c r="F84" s="3">
        <f>-32889*-1</f>
        <v>32889</v>
      </c>
      <c r="G84" s="122">
        <f>-53078*-1</f>
        <v>53078</v>
      </c>
    </row>
    <row r="85" spans="2:7" x14ac:dyDescent="0.25">
      <c r="B85" s="138" t="s">
        <v>108</v>
      </c>
      <c r="C85" s="3">
        <v>735.94500000000005</v>
      </c>
      <c r="D85" s="3">
        <v>1396.6890000000001</v>
      </c>
      <c r="E85" s="3">
        <v>4335.8909999999996</v>
      </c>
      <c r="F85" s="3">
        <v>4945</v>
      </c>
      <c r="G85" s="122">
        <v>7480</v>
      </c>
    </row>
    <row r="86" spans="2:7" ht="15.75" thickBot="1" x14ac:dyDescent="0.3">
      <c r="B86" s="214" t="s">
        <v>156</v>
      </c>
      <c r="C86" s="206">
        <f>C82+C83+C84+C85</f>
        <v>26123.334000000028</v>
      </c>
      <c r="D86" s="206">
        <f t="shared" ref="D86:G86" si="52">D82+D83+D84+D85</f>
        <v>26237.958999999988</v>
      </c>
      <c r="E86" s="206">
        <f t="shared" si="52"/>
        <v>85371.544999999969</v>
      </c>
      <c r="F86" s="206">
        <f t="shared" si="52"/>
        <v>114804</v>
      </c>
      <c r="G86" s="207">
        <f>SUM(G82:G85)</f>
        <v>193668</v>
      </c>
    </row>
    <row r="88" spans="2:7" ht="15.75" thickBot="1" x14ac:dyDescent="0.3"/>
    <row r="89" spans="2:7" ht="15.75" thickBot="1" x14ac:dyDescent="0.3">
      <c r="B89" s="250" t="s">
        <v>157</v>
      </c>
      <c r="C89" s="251" t="s">
        <v>114</v>
      </c>
      <c r="D89" s="251" t="s">
        <v>113</v>
      </c>
      <c r="E89" s="251" t="s">
        <v>112</v>
      </c>
      <c r="F89" s="251" t="s">
        <v>90</v>
      </c>
      <c r="G89" s="252" t="s">
        <v>91</v>
      </c>
    </row>
    <row r="90" spans="2:7" x14ac:dyDescent="0.25">
      <c r="B90" s="253" t="s">
        <v>170</v>
      </c>
      <c r="C90" s="249">
        <v>38527.700000000004</v>
      </c>
      <c r="D90" s="249">
        <v>29676.709000000003</v>
      </c>
      <c r="E90" s="249">
        <v>29152</v>
      </c>
      <c r="F90" s="249">
        <v>30427</v>
      </c>
      <c r="G90" s="254">
        <v>33677</v>
      </c>
    </row>
    <row r="91" spans="2:7" x14ac:dyDescent="0.25">
      <c r="B91" s="255" t="s">
        <v>168</v>
      </c>
      <c r="C91" s="248">
        <v>41888.661999999997</v>
      </c>
      <c r="D91" s="248">
        <v>65861.744999999995</v>
      </c>
      <c r="E91" s="248">
        <v>68419</v>
      </c>
      <c r="F91" s="248">
        <v>133137</v>
      </c>
      <c r="G91" s="256">
        <v>67359</v>
      </c>
    </row>
    <row r="92" spans="2:7" ht="15.75" thickBot="1" x14ac:dyDescent="0.3">
      <c r="B92" s="257" t="s">
        <v>169</v>
      </c>
      <c r="C92" s="258">
        <f>C90-C91</f>
        <v>-3360.9619999999923</v>
      </c>
      <c r="D92" s="258">
        <f t="shared" ref="D92:G92" si="53">D90-D91</f>
        <v>-36185.035999999993</v>
      </c>
      <c r="E92" s="258">
        <f t="shared" si="53"/>
        <v>-39267</v>
      </c>
      <c r="F92" s="258">
        <f t="shared" si="53"/>
        <v>-102710</v>
      </c>
      <c r="G92" s="259">
        <f t="shared" si="53"/>
        <v>-33682</v>
      </c>
    </row>
    <row r="93" spans="2:7" ht="15.75" thickBot="1" x14ac:dyDescent="0.3">
      <c r="B93" s="260"/>
      <c r="C93" s="261"/>
      <c r="D93" s="261"/>
      <c r="E93" s="261"/>
      <c r="F93" s="261"/>
      <c r="G93" s="262"/>
    </row>
    <row r="94" spans="2:7" ht="15.75" thickBot="1" x14ac:dyDescent="0.3">
      <c r="B94" s="250" t="s">
        <v>157</v>
      </c>
      <c r="C94" s="251" t="s">
        <v>114</v>
      </c>
      <c r="D94" s="251" t="s">
        <v>113</v>
      </c>
      <c r="E94" s="251" t="s">
        <v>112</v>
      </c>
      <c r="F94" s="251" t="s">
        <v>90</v>
      </c>
      <c r="G94" s="252" t="s">
        <v>91</v>
      </c>
    </row>
    <row r="95" spans="2:7" x14ac:dyDescent="0.25">
      <c r="B95" s="253" t="s">
        <v>171</v>
      </c>
      <c r="C95" s="249">
        <f>79500631.2/1000</f>
        <v>79500.631200000003</v>
      </c>
      <c r="D95" s="249">
        <f>176916897.6/1000</f>
        <v>176916.8976</v>
      </c>
      <c r="E95" s="249">
        <f>189233896.8/1000</f>
        <v>189233.89680000002</v>
      </c>
      <c r="F95" s="249">
        <f>1072138794/1000</f>
        <v>1072138.794</v>
      </c>
      <c r="G95" s="254">
        <f>1467962359.2/1000</f>
        <v>1467962.3592000001</v>
      </c>
    </row>
    <row r="96" spans="2:7" x14ac:dyDescent="0.25">
      <c r="B96" s="255" t="s">
        <v>169</v>
      </c>
      <c r="C96" s="248">
        <v>-3360.9619999999923</v>
      </c>
      <c r="D96" s="248">
        <v>-36185.035999999993</v>
      </c>
      <c r="E96" s="248">
        <v>-39267</v>
      </c>
      <c r="F96" s="248">
        <v>-102710</v>
      </c>
      <c r="G96" s="256">
        <v>-33682</v>
      </c>
    </row>
    <row r="97" spans="2:7" ht="15.75" thickBot="1" x14ac:dyDescent="0.3">
      <c r="B97" s="257" t="s">
        <v>172</v>
      </c>
      <c r="C97" s="258">
        <f>C95+C96</f>
        <v>76139.669200000004</v>
      </c>
      <c r="D97" s="258">
        <f t="shared" ref="D97:G97" si="54">D95+D96</f>
        <v>140731.8616</v>
      </c>
      <c r="E97" s="258">
        <f t="shared" si="54"/>
        <v>149966.89680000002</v>
      </c>
      <c r="F97" s="258">
        <f t="shared" si="54"/>
        <v>969428.79399999999</v>
      </c>
      <c r="G97" s="259">
        <f t="shared" si="54"/>
        <v>1434280.3592000001</v>
      </c>
    </row>
    <row r="98" spans="2:7" ht="15.75" thickBot="1" x14ac:dyDescent="0.3"/>
    <row r="99" spans="2:7" ht="15.75" thickBot="1" x14ac:dyDescent="0.3">
      <c r="B99" s="266"/>
      <c r="C99" s="251" t="s">
        <v>114</v>
      </c>
      <c r="D99" s="251" t="s">
        <v>113</v>
      </c>
      <c r="E99" s="251" t="s">
        <v>112</v>
      </c>
      <c r="F99" s="251" t="s">
        <v>90</v>
      </c>
      <c r="G99" s="252" t="s">
        <v>91</v>
      </c>
    </row>
    <row r="100" spans="2:7" ht="15.75" thickBot="1" x14ac:dyDescent="0.3">
      <c r="B100" s="263" t="s">
        <v>138</v>
      </c>
      <c r="C100" s="264">
        <v>2.9146229650472608</v>
      </c>
      <c r="D100" s="264">
        <v>5.3636741180973742</v>
      </c>
      <c r="E100" s="264">
        <v>1.7566379617470909</v>
      </c>
      <c r="F100" s="264">
        <v>8.4442074666387938</v>
      </c>
      <c r="G100" s="265">
        <v>7.4058716938265485</v>
      </c>
    </row>
  </sheetData>
  <dataConsolidate/>
  <pageMargins left="0.7" right="0.7" top="0.75" bottom="0.75" header="0.3" footer="0.3"/>
  <pageSetup paperSize="9" orientation="portrait" horizontalDpi="0" verticalDpi="0"/>
  <ignoredErrors>
    <ignoredError sqref="E6:G6 C6:D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4BA4-324A-45B8-9E4F-A744BE3783E3}">
  <dimension ref="A1:F45"/>
  <sheetViews>
    <sheetView workbookViewId="0">
      <selection activeCell="I18" sqref="I18"/>
    </sheetView>
  </sheetViews>
  <sheetFormatPr baseColWidth="10" defaultRowHeight="15" x14ac:dyDescent="0.25"/>
  <cols>
    <col min="1" max="1" width="30.140625" bestFit="1" customWidth="1"/>
    <col min="2" max="4" width="11.5703125" bestFit="1" customWidth="1"/>
    <col min="5" max="5" width="12.42578125" bestFit="1" customWidth="1"/>
    <col min="6" max="6" width="13" bestFit="1" customWidth="1"/>
    <col min="12" max="12" width="30.140625" bestFit="1" customWidth="1"/>
    <col min="13" max="15" width="9.7109375" bestFit="1" customWidth="1"/>
    <col min="16" max="16" width="10.5703125" bestFit="1" customWidth="1"/>
    <col min="17" max="17" width="11.28515625" bestFit="1" customWidth="1"/>
  </cols>
  <sheetData>
    <row r="1" spans="1:6" x14ac:dyDescent="0.25">
      <c r="A1" s="215" t="s">
        <v>111</v>
      </c>
      <c r="B1" s="215" t="s">
        <v>114</v>
      </c>
      <c r="C1" s="215" t="s">
        <v>113</v>
      </c>
      <c r="D1" s="215" t="s">
        <v>112</v>
      </c>
      <c r="E1" s="215" t="s">
        <v>90</v>
      </c>
      <c r="F1" s="216" t="s">
        <v>91</v>
      </c>
    </row>
    <row r="2" spans="1:6" x14ac:dyDescent="0.25">
      <c r="A2" s="215"/>
      <c r="B2" s="217">
        <v>43465</v>
      </c>
      <c r="C2" s="217">
        <v>43465</v>
      </c>
      <c r="D2" s="217">
        <v>43465</v>
      </c>
      <c r="E2" s="217">
        <v>43465</v>
      </c>
      <c r="F2" s="217">
        <v>43465</v>
      </c>
    </row>
    <row r="3" spans="1:6" x14ac:dyDescent="0.25">
      <c r="A3" s="218" t="s">
        <v>92</v>
      </c>
      <c r="B3" s="80">
        <v>428431.97700000001</v>
      </c>
      <c r="C3" s="80">
        <v>566528.63500000001</v>
      </c>
      <c r="D3" s="80">
        <v>783386.29799999995</v>
      </c>
      <c r="E3" s="80">
        <v>1107064</v>
      </c>
      <c r="F3" s="80">
        <v>1564025</v>
      </c>
    </row>
    <row r="4" spans="1:6" x14ac:dyDescent="0.25">
      <c r="A4" s="219" t="s">
        <v>93</v>
      </c>
      <c r="B4" s="80">
        <v>-382042.42</v>
      </c>
      <c r="C4" s="80">
        <v>-507659.19900000002</v>
      </c>
      <c r="D4" s="80">
        <v>-668403.86</v>
      </c>
      <c r="E4" s="80">
        <v>-933548</v>
      </c>
      <c r="F4" s="80">
        <v>-1320072</v>
      </c>
    </row>
    <row r="5" spans="1:6" x14ac:dyDescent="0.25">
      <c r="A5" s="211" t="s">
        <v>94</v>
      </c>
      <c r="B5" s="142">
        <f>SUM(B3:B4)</f>
        <v>46389.55700000003</v>
      </c>
      <c r="C5" s="142">
        <f>SUM(C3:C4)</f>
        <v>58869.435999999987</v>
      </c>
      <c r="D5" s="142">
        <f>SUM(D3:D4)</f>
        <v>114982.43799999997</v>
      </c>
      <c r="E5" s="142">
        <f>SUM(E3:E4)</f>
        <v>173516</v>
      </c>
      <c r="F5" s="142">
        <f>SUM(F3:F4)</f>
        <v>243953</v>
      </c>
    </row>
    <row r="6" spans="1:6" x14ac:dyDescent="0.25">
      <c r="A6" s="220" t="s">
        <v>95</v>
      </c>
      <c r="B6" s="95">
        <f>B5/B3</f>
        <v>0.10827753176789609</v>
      </c>
      <c r="C6" s="95">
        <f>C5/C3</f>
        <v>0.10391255156943653</v>
      </c>
      <c r="D6" s="95">
        <f>D5/D3</f>
        <v>0.14677616687137918</v>
      </c>
      <c r="E6" s="95">
        <f>E5/E3</f>
        <v>0.15673529262987507</v>
      </c>
      <c r="F6" s="95">
        <f>F5/F3</f>
        <v>0.15597768577868001</v>
      </c>
    </row>
    <row r="7" spans="1:6" x14ac:dyDescent="0.25">
      <c r="A7" s="202" t="s">
        <v>96</v>
      </c>
      <c r="B7" s="3">
        <v>-21002.168000000001</v>
      </c>
      <c r="C7" s="3">
        <v>-34028.165999999997</v>
      </c>
      <c r="D7" s="3">
        <v>-33946.784</v>
      </c>
      <c r="E7" s="3">
        <v>-63657</v>
      </c>
      <c r="F7" s="3">
        <v>-57765</v>
      </c>
    </row>
    <row r="8" spans="1:6" x14ac:dyDescent="0.25">
      <c r="A8" s="211" t="s">
        <v>97</v>
      </c>
      <c r="B8" s="142">
        <f>B5+B7</f>
        <v>25387.389000000028</v>
      </c>
      <c r="C8" s="142">
        <f>C5+C7</f>
        <v>24841.26999999999</v>
      </c>
      <c r="D8" s="142">
        <f>D5+D7</f>
        <v>81035.653999999966</v>
      </c>
      <c r="E8" s="142">
        <f>E5+E7</f>
        <v>109859</v>
      </c>
      <c r="F8" s="142">
        <f>F5+F7</f>
        <v>186188</v>
      </c>
    </row>
    <row r="9" spans="1:6" x14ac:dyDescent="0.25">
      <c r="A9" s="220" t="s">
        <v>98</v>
      </c>
      <c r="B9" s="95">
        <f>B8/B3</f>
        <v>5.9256522302022351E-2</v>
      </c>
      <c r="C9" s="95">
        <f>C8/C3</f>
        <v>4.3848216074726727E-2</v>
      </c>
      <c r="D9" s="95">
        <f>D8/D3</f>
        <v>0.10344277683549677</v>
      </c>
      <c r="E9" s="95">
        <f>E8/E3</f>
        <v>9.923455193195696E-2</v>
      </c>
      <c r="F9" s="95">
        <f>F8/F3</f>
        <v>0.11904413292626397</v>
      </c>
    </row>
    <row r="10" spans="1:6" x14ac:dyDescent="0.25">
      <c r="A10" s="220"/>
      <c r="B10" s="95"/>
      <c r="C10" s="95"/>
      <c r="D10" s="95"/>
      <c r="E10" s="95"/>
      <c r="F10" s="95"/>
    </row>
    <row r="11" spans="1:6" x14ac:dyDescent="0.25">
      <c r="A11" s="202" t="s">
        <v>110</v>
      </c>
      <c r="B11" s="3">
        <v>10046.295</v>
      </c>
      <c r="C11" s="3">
        <v>5038.7659999999996</v>
      </c>
      <c r="D11" s="3">
        <v>8631.9339999999993</v>
      </c>
      <c r="E11" s="3">
        <v>23142</v>
      </c>
      <c r="F11" s="3">
        <v>10629</v>
      </c>
    </row>
    <row r="12" spans="1:6" x14ac:dyDescent="0.25">
      <c r="A12" s="211" t="s">
        <v>99</v>
      </c>
      <c r="B12" s="142">
        <f>B8-B11</f>
        <v>15341.094000000028</v>
      </c>
      <c r="C12" s="142">
        <f t="shared" ref="C12:F12" si="0">C8-C11</f>
        <v>19802.50399999999</v>
      </c>
      <c r="D12" s="142">
        <f t="shared" si="0"/>
        <v>72403.719999999972</v>
      </c>
      <c r="E12" s="142">
        <f t="shared" si="0"/>
        <v>86717</v>
      </c>
      <c r="F12" s="142">
        <f t="shared" si="0"/>
        <v>175559</v>
      </c>
    </row>
    <row r="13" spans="1:6" x14ac:dyDescent="0.25">
      <c r="A13" s="202" t="s">
        <v>100</v>
      </c>
      <c r="B13" s="96">
        <f>B12/B3</f>
        <v>3.5807537307141826E-2</v>
      </c>
      <c r="C13" s="96">
        <f>C12/C3</f>
        <v>3.4954109601185453E-2</v>
      </c>
      <c r="D13" s="96">
        <f>D12/D3</f>
        <v>9.2424031649325555E-2</v>
      </c>
      <c r="E13" s="96">
        <f>E12/E3</f>
        <v>7.8330611419032678E-2</v>
      </c>
      <c r="F13" s="96">
        <f>F12/F3</f>
        <v>0.11224820575118684</v>
      </c>
    </row>
    <row r="14" spans="1:6" x14ac:dyDescent="0.25">
      <c r="A14" s="202" t="s">
        <v>1</v>
      </c>
      <c r="B14" s="3">
        <v>-9566.2209999999995</v>
      </c>
      <c r="C14" s="3">
        <v>-5471.07</v>
      </c>
      <c r="D14" s="3">
        <v>-23878.66</v>
      </c>
      <c r="E14" s="3">
        <v>-32889</v>
      </c>
      <c r="F14" s="3">
        <v>-53078</v>
      </c>
    </row>
    <row r="15" spans="1:6" x14ac:dyDescent="0.25">
      <c r="A15" s="202" t="s">
        <v>101</v>
      </c>
      <c r="B15" s="12">
        <f>(B14/B12)*-1</f>
        <v>0.62356837132997045</v>
      </c>
      <c r="C15" s="12">
        <f>(C14/C12)*-1</f>
        <v>0.27628172679576291</v>
      </c>
      <c r="D15" s="12">
        <f>(D14/D12)*-1</f>
        <v>0.32979880039312909</v>
      </c>
      <c r="E15" s="12">
        <f>(E14/E12)*-1</f>
        <v>0.37926819424103692</v>
      </c>
      <c r="F15" s="12">
        <f>(F14/F12)*-1</f>
        <v>0.30233710604412189</v>
      </c>
    </row>
    <row r="16" spans="1:6" x14ac:dyDescent="0.25">
      <c r="A16" s="211" t="s">
        <v>102</v>
      </c>
      <c r="B16" s="142">
        <f>B12--B14</f>
        <v>5774.8730000000287</v>
      </c>
      <c r="C16" s="142">
        <f>C12+C14</f>
        <v>14331.43399999999</v>
      </c>
      <c r="D16" s="142">
        <f>D12+D14</f>
        <v>48525.059999999969</v>
      </c>
      <c r="E16" s="142">
        <f>E12+E14</f>
        <v>53828</v>
      </c>
      <c r="F16" s="142">
        <f>F12+F14</f>
        <v>122481</v>
      </c>
    </row>
    <row r="20" spans="1:6" ht="15.75" thickBot="1" x14ac:dyDescent="0.3"/>
    <row r="21" spans="1:6" ht="15.75" thickBot="1" x14ac:dyDescent="0.3">
      <c r="A21" s="221" t="s">
        <v>157</v>
      </c>
      <c r="B21" s="222" t="s">
        <v>114</v>
      </c>
      <c r="C21" s="222" t="s">
        <v>113</v>
      </c>
      <c r="D21" s="222" t="s">
        <v>112</v>
      </c>
      <c r="E21" s="222" t="s">
        <v>90</v>
      </c>
      <c r="F21" s="223" t="s">
        <v>91</v>
      </c>
    </row>
    <row r="22" spans="1:6" ht="15.75" thickBot="1" x14ac:dyDescent="0.3">
      <c r="A22" s="226"/>
      <c r="B22" s="227">
        <v>43465</v>
      </c>
      <c r="C22" s="227">
        <v>43465</v>
      </c>
      <c r="D22" s="227">
        <v>43465</v>
      </c>
      <c r="E22" s="227">
        <v>43465</v>
      </c>
      <c r="F22" s="228">
        <v>43465</v>
      </c>
    </row>
    <row r="23" spans="1:6" x14ac:dyDescent="0.25">
      <c r="A23" s="224" t="s">
        <v>158</v>
      </c>
      <c r="B23" s="225">
        <v>428431.97700000001</v>
      </c>
      <c r="C23" s="225">
        <v>566528.63500000001</v>
      </c>
      <c r="D23" s="225">
        <v>783386.29799999995</v>
      </c>
      <c r="E23" s="225">
        <v>1107064</v>
      </c>
      <c r="F23" s="225">
        <v>1564025</v>
      </c>
    </row>
    <row r="24" spans="1:6" ht="15.75" thickBot="1" x14ac:dyDescent="0.3">
      <c r="A24" s="229" t="s">
        <v>159</v>
      </c>
      <c r="B24" s="230">
        <v>-382042.42</v>
      </c>
      <c r="C24" s="230">
        <v>-507659.19900000002</v>
      </c>
      <c r="D24" s="230">
        <v>-668403.86</v>
      </c>
      <c r="E24" s="230">
        <v>-933548</v>
      </c>
      <c r="F24" s="230">
        <v>-1320072</v>
      </c>
    </row>
    <row r="25" spans="1:6" ht="15.75" thickBot="1" x14ac:dyDescent="0.3">
      <c r="A25" s="233" t="s">
        <v>160</v>
      </c>
      <c r="B25" s="234">
        <f>SUM(B23:B24)</f>
        <v>46389.55700000003</v>
      </c>
      <c r="C25" s="234">
        <f>SUM(C23:C24)</f>
        <v>58869.435999999987</v>
      </c>
      <c r="D25" s="234">
        <f>SUM(D23:D24)</f>
        <v>114982.43799999997</v>
      </c>
      <c r="E25" s="234">
        <f>SUM(E23:E24)</f>
        <v>173516</v>
      </c>
      <c r="F25" s="235">
        <f>SUM(F23:F24)</f>
        <v>243953</v>
      </c>
    </row>
    <row r="26" spans="1:6" x14ac:dyDescent="0.25">
      <c r="A26" s="231" t="s">
        <v>165</v>
      </c>
      <c r="B26" s="232">
        <f>B25/B23</f>
        <v>0.10827753176789609</v>
      </c>
      <c r="C26" s="232">
        <f>C25/C23</f>
        <v>0.10391255156943653</v>
      </c>
      <c r="D26" s="232">
        <f>D25/D23</f>
        <v>0.14677616687137918</v>
      </c>
      <c r="E26" s="232">
        <f>E25/E23</f>
        <v>0.15673529262987507</v>
      </c>
      <c r="F26" s="232">
        <f>F25/F23</f>
        <v>0.15597768577868001</v>
      </c>
    </row>
    <row r="27" spans="1:6" ht="15.75" thickBot="1" x14ac:dyDescent="0.3">
      <c r="A27" s="236" t="s">
        <v>166</v>
      </c>
      <c r="B27" s="230">
        <v>-21002.168000000001</v>
      </c>
      <c r="C27" s="230">
        <v>-34028.165999999997</v>
      </c>
      <c r="D27" s="230">
        <v>-33946.784</v>
      </c>
      <c r="E27" s="230">
        <v>-63657</v>
      </c>
      <c r="F27" s="230">
        <v>-57765</v>
      </c>
    </row>
    <row r="28" spans="1:6" ht="15.75" thickBot="1" x14ac:dyDescent="0.3">
      <c r="A28" s="233" t="s">
        <v>161</v>
      </c>
      <c r="B28" s="234">
        <f>B25+B27</f>
        <v>25387.389000000028</v>
      </c>
      <c r="C28" s="234">
        <f>C25+C27</f>
        <v>24841.26999999999</v>
      </c>
      <c r="D28" s="234">
        <f>D25+D27</f>
        <v>81035.653999999966</v>
      </c>
      <c r="E28" s="234">
        <f>E25+E27</f>
        <v>109859</v>
      </c>
      <c r="F28" s="235">
        <f>F25+F27</f>
        <v>186188</v>
      </c>
    </row>
    <row r="29" spans="1:6" x14ac:dyDescent="0.25">
      <c r="A29" s="231" t="s">
        <v>98</v>
      </c>
      <c r="B29" s="232">
        <f>B28/B23</f>
        <v>5.9256522302022351E-2</v>
      </c>
      <c r="C29" s="232">
        <f>C28/C23</f>
        <v>4.3848216074726727E-2</v>
      </c>
      <c r="D29" s="232">
        <f>D28/D23</f>
        <v>0.10344277683549677</v>
      </c>
      <c r="E29" s="232">
        <f>E28/E23</f>
        <v>9.923455193195696E-2</v>
      </c>
      <c r="F29" s="232">
        <f>F28/F23</f>
        <v>0.11904413292626397</v>
      </c>
    </row>
    <row r="30" spans="1:6" ht="15.75" thickBot="1" x14ac:dyDescent="0.3">
      <c r="A30" s="236" t="s">
        <v>162</v>
      </c>
      <c r="B30" s="230">
        <v>10046.295</v>
      </c>
      <c r="C30" s="230">
        <v>5038.7659999999996</v>
      </c>
      <c r="D30" s="230">
        <v>8631.9339999999993</v>
      </c>
      <c r="E30" s="230">
        <v>23142</v>
      </c>
      <c r="F30" s="230">
        <v>10629</v>
      </c>
    </row>
    <row r="31" spans="1:6" ht="15.75" thickBot="1" x14ac:dyDescent="0.3">
      <c r="A31" s="233" t="s">
        <v>163</v>
      </c>
      <c r="B31" s="234">
        <f>B28-B30</f>
        <v>15341.094000000028</v>
      </c>
      <c r="C31" s="234">
        <f>C28-C30</f>
        <v>19802.50399999999</v>
      </c>
      <c r="D31" s="234">
        <f>D28-D30</f>
        <v>72403.719999999972</v>
      </c>
      <c r="E31" s="234">
        <f>E28-E30</f>
        <v>86717</v>
      </c>
      <c r="F31" s="235">
        <f>F28-F30</f>
        <v>175559</v>
      </c>
    </row>
    <row r="32" spans="1:6" x14ac:dyDescent="0.25">
      <c r="A32" s="231" t="s">
        <v>164</v>
      </c>
      <c r="B32" s="237">
        <f>B31/B23</f>
        <v>3.5807537307141826E-2</v>
      </c>
      <c r="C32" s="237">
        <f>C31/C23</f>
        <v>3.4954109601185453E-2</v>
      </c>
      <c r="D32" s="237">
        <f>D31/D23</f>
        <v>9.2424031649325555E-2</v>
      </c>
      <c r="E32" s="237">
        <f>E31/E23</f>
        <v>7.8330611419032678E-2</v>
      </c>
      <c r="F32" s="237">
        <f>F31/F23</f>
        <v>0.11224820575118684</v>
      </c>
    </row>
    <row r="33" spans="1:6" ht="15.75" thickBot="1" x14ac:dyDescent="0.3"/>
    <row r="34" spans="1:6" ht="15.75" thickBot="1" x14ac:dyDescent="0.3">
      <c r="A34" s="238" t="s">
        <v>157</v>
      </c>
      <c r="B34" s="239" t="s">
        <v>114</v>
      </c>
      <c r="C34" s="239" t="s">
        <v>113</v>
      </c>
      <c r="D34" s="239" t="s">
        <v>112</v>
      </c>
      <c r="E34" s="239" t="s">
        <v>90</v>
      </c>
      <c r="F34" s="240" t="s">
        <v>91</v>
      </c>
    </row>
    <row r="35" spans="1:6" ht="15.75" thickBot="1" x14ac:dyDescent="0.3">
      <c r="A35" s="226"/>
      <c r="B35" s="241">
        <v>43465</v>
      </c>
      <c r="C35" s="241">
        <v>43465</v>
      </c>
      <c r="D35" s="241">
        <v>43465</v>
      </c>
      <c r="E35" s="241">
        <v>43465</v>
      </c>
      <c r="F35" s="242">
        <v>43465</v>
      </c>
    </row>
    <row r="36" spans="1:6" x14ac:dyDescent="0.25">
      <c r="A36" s="224" t="s">
        <v>158</v>
      </c>
      <c r="B36" s="243">
        <v>428431.97700000001</v>
      </c>
      <c r="C36" s="243">
        <v>566528.63500000001</v>
      </c>
      <c r="D36" s="243">
        <v>783386.29799999995</v>
      </c>
      <c r="E36" s="243">
        <v>1107064</v>
      </c>
      <c r="F36" s="243">
        <v>1564025</v>
      </c>
    </row>
    <row r="37" spans="1:6" ht="15.75" thickBot="1" x14ac:dyDescent="0.3">
      <c r="A37" s="229" t="s">
        <v>159</v>
      </c>
      <c r="B37" s="244">
        <v>-382042.42</v>
      </c>
      <c r="C37" s="244">
        <v>-507659.19900000002</v>
      </c>
      <c r="D37" s="244">
        <v>-668403.86</v>
      </c>
      <c r="E37" s="244">
        <v>-933548</v>
      </c>
      <c r="F37" s="244">
        <v>-1320072</v>
      </c>
    </row>
    <row r="38" spans="1:6" ht="15.75" thickBot="1" x14ac:dyDescent="0.3">
      <c r="A38" s="233" t="s">
        <v>160</v>
      </c>
      <c r="B38" s="246">
        <f>SUM(B36:B37)</f>
        <v>46389.55700000003</v>
      </c>
      <c r="C38" s="246">
        <f>SUM(C36:C37)</f>
        <v>58869.435999999987</v>
      </c>
      <c r="D38" s="246">
        <f>SUM(D36:D37)</f>
        <v>114982.43799999997</v>
      </c>
      <c r="E38" s="246">
        <f>SUM(E36:E37)</f>
        <v>173516</v>
      </c>
      <c r="F38" s="247">
        <f>SUM(F36:F37)</f>
        <v>243953</v>
      </c>
    </row>
    <row r="39" spans="1:6" x14ac:dyDescent="0.25">
      <c r="A39" s="231" t="s">
        <v>165</v>
      </c>
      <c r="B39" s="245">
        <f>B38/B36</f>
        <v>0.10827753176789609</v>
      </c>
      <c r="C39" s="245">
        <f>C38/C36</f>
        <v>0.10391255156943653</v>
      </c>
      <c r="D39" s="245">
        <f>D38/D36</f>
        <v>0.14677616687137918</v>
      </c>
      <c r="E39" s="245">
        <f>E38/E36</f>
        <v>0.15673529262987507</v>
      </c>
      <c r="F39" s="245">
        <f>F38/F36</f>
        <v>0.15597768577868001</v>
      </c>
    </row>
    <row r="40" spans="1:6" ht="15.75" thickBot="1" x14ac:dyDescent="0.3">
      <c r="A40" s="236" t="s">
        <v>166</v>
      </c>
      <c r="B40" s="244">
        <v>-21002.168000000001</v>
      </c>
      <c r="C40" s="244">
        <v>-34028.165999999997</v>
      </c>
      <c r="D40" s="244">
        <v>-33946.784</v>
      </c>
      <c r="E40" s="244">
        <v>-63657</v>
      </c>
      <c r="F40" s="244">
        <v>-57765</v>
      </c>
    </row>
    <row r="41" spans="1:6" ht="15.75" thickBot="1" x14ac:dyDescent="0.3">
      <c r="A41" s="233" t="s">
        <v>161</v>
      </c>
      <c r="B41" s="246">
        <f>B38+B40</f>
        <v>25387.389000000028</v>
      </c>
      <c r="C41" s="246">
        <f>C38+C40</f>
        <v>24841.26999999999</v>
      </c>
      <c r="D41" s="246">
        <f>D38+D40</f>
        <v>81035.653999999966</v>
      </c>
      <c r="E41" s="246">
        <f>E38+E40</f>
        <v>109859</v>
      </c>
      <c r="F41" s="247">
        <f>F38+F40</f>
        <v>186188</v>
      </c>
    </row>
    <row r="42" spans="1:6" x14ac:dyDescent="0.25">
      <c r="A42" s="231" t="s">
        <v>167</v>
      </c>
      <c r="B42" s="245">
        <f>B41/B36</f>
        <v>5.9256522302022351E-2</v>
      </c>
      <c r="C42" s="245">
        <f>C41/C36</f>
        <v>4.3848216074726727E-2</v>
      </c>
      <c r="D42" s="245">
        <f>D41/D36</f>
        <v>0.10344277683549677</v>
      </c>
      <c r="E42" s="245">
        <f>E41/E36</f>
        <v>9.923455193195696E-2</v>
      </c>
      <c r="F42" s="245">
        <f>F41/F36</f>
        <v>0.11904413292626397</v>
      </c>
    </row>
    <row r="43" spans="1:6" ht="15.75" thickBot="1" x14ac:dyDescent="0.3">
      <c r="A43" s="236" t="s">
        <v>162</v>
      </c>
      <c r="B43" s="244">
        <v>10046.295</v>
      </c>
      <c r="C43" s="244">
        <v>5038.7659999999996</v>
      </c>
      <c r="D43" s="244">
        <v>8631.9339999999993</v>
      </c>
      <c r="E43" s="244">
        <v>23142</v>
      </c>
      <c r="F43" s="244">
        <v>10629</v>
      </c>
    </row>
    <row r="44" spans="1:6" ht="15.75" thickBot="1" x14ac:dyDescent="0.3">
      <c r="A44" s="233" t="s">
        <v>163</v>
      </c>
      <c r="B44" s="246">
        <f>B41-B43</f>
        <v>15341.094000000028</v>
      </c>
      <c r="C44" s="246">
        <f>C41-C43</f>
        <v>19802.50399999999</v>
      </c>
      <c r="D44" s="246">
        <f>D41-D43</f>
        <v>72403.719999999972</v>
      </c>
      <c r="E44" s="246">
        <f>E41-E43</f>
        <v>86717</v>
      </c>
      <c r="F44" s="247">
        <f>F41-F43</f>
        <v>175559</v>
      </c>
    </row>
    <row r="45" spans="1:6" x14ac:dyDescent="0.25">
      <c r="A45" s="231" t="s">
        <v>164</v>
      </c>
      <c r="B45" s="245">
        <f>B44/B36</f>
        <v>3.5807537307141826E-2</v>
      </c>
      <c r="C45" s="245">
        <f>C44/C36</f>
        <v>3.4954109601185453E-2</v>
      </c>
      <c r="D45" s="245">
        <f>D44/D36</f>
        <v>9.2424031649325555E-2</v>
      </c>
      <c r="E45" s="245">
        <f>E44/E36</f>
        <v>7.8330611419032678E-2</v>
      </c>
      <c r="F45" s="245">
        <f>F44/F36</f>
        <v>0.11224820575118684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1"/>
  <sheetViews>
    <sheetView topLeftCell="H52" zoomScaleNormal="41" workbookViewId="0">
      <selection activeCell="O63" sqref="L32:O63"/>
    </sheetView>
  </sheetViews>
  <sheetFormatPr baseColWidth="10" defaultRowHeight="15" x14ac:dyDescent="0.25"/>
  <cols>
    <col min="1" max="1" width="35.28515625" customWidth="1"/>
    <col min="2" max="2" width="22.85546875" customWidth="1"/>
    <col min="3" max="3" width="27.28515625" bestFit="1" customWidth="1"/>
    <col min="4" max="4" width="18.42578125" customWidth="1"/>
    <col min="6" max="6" width="17.42578125" bestFit="1" customWidth="1"/>
    <col min="9" max="9" width="37" customWidth="1"/>
    <col min="10" max="10" width="32.28515625" customWidth="1"/>
    <col min="11" max="11" width="31.28515625" bestFit="1" customWidth="1"/>
    <col min="12" max="12" width="15.28515625" customWidth="1"/>
    <col min="13" max="13" width="11.28515625" bestFit="1" customWidth="1"/>
    <col min="14" max="14" width="18.7109375" customWidth="1"/>
  </cols>
  <sheetData>
    <row r="1" spans="1:16" ht="16.5" thickBot="1" x14ac:dyDescent="0.35">
      <c r="A1" s="52"/>
      <c r="B1" s="55"/>
      <c r="C1" s="68"/>
      <c r="D1" s="69"/>
      <c r="E1" s="54"/>
      <c r="F1" s="53"/>
      <c r="G1" s="54"/>
      <c r="H1" s="55"/>
      <c r="I1" s="14"/>
      <c r="J1" s="14"/>
      <c r="K1" s="14"/>
      <c r="L1" s="14"/>
      <c r="M1" s="14"/>
      <c r="N1" s="14"/>
      <c r="O1" s="14"/>
      <c r="P1" s="14"/>
    </row>
    <row r="2" spans="1:16" ht="16.5" thickBot="1" x14ac:dyDescent="0.35">
      <c r="A2" s="187" t="s">
        <v>89</v>
      </c>
      <c r="B2" s="188"/>
      <c r="C2" s="188"/>
      <c r="D2" s="188"/>
      <c r="E2" s="188"/>
      <c r="F2" s="188"/>
      <c r="G2" s="189"/>
      <c r="H2" s="56"/>
      <c r="I2" s="187" t="s">
        <v>4</v>
      </c>
      <c r="J2" s="188"/>
      <c r="K2" s="188"/>
      <c r="L2" s="188"/>
      <c r="M2" s="188"/>
      <c r="N2" s="188"/>
      <c r="O2" s="189"/>
      <c r="P2" s="14"/>
    </row>
    <row r="3" spans="1:16" ht="16.5" thickBot="1" x14ac:dyDescent="0.35">
      <c r="A3" s="47" t="s">
        <v>5</v>
      </c>
      <c r="B3" s="47" t="s">
        <v>6</v>
      </c>
      <c r="C3" s="47" t="s">
        <v>7</v>
      </c>
      <c r="D3" s="190" t="s">
        <v>88</v>
      </c>
      <c r="E3" s="191"/>
      <c r="F3" s="190" t="s">
        <v>87</v>
      </c>
      <c r="G3" s="191"/>
      <c r="H3" s="56"/>
      <c r="I3" s="190" t="s">
        <v>5</v>
      </c>
      <c r="J3" s="191" t="s">
        <v>6</v>
      </c>
      <c r="K3" s="190" t="s">
        <v>7</v>
      </c>
      <c r="L3" s="191" t="s">
        <v>88</v>
      </c>
      <c r="M3" s="190"/>
      <c r="N3" s="191" t="s">
        <v>87</v>
      </c>
      <c r="O3" s="48"/>
      <c r="P3" s="14"/>
    </row>
    <row r="4" spans="1:16" ht="15.75" x14ac:dyDescent="0.3">
      <c r="A4" s="57"/>
      <c r="B4" s="181" t="s">
        <v>8</v>
      </c>
      <c r="C4" s="58"/>
      <c r="D4" s="148"/>
      <c r="E4" s="149"/>
      <c r="F4" s="148"/>
      <c r="G4" s="149"/>
      <c r="H4" s="56"/>
      <c r="I4" s="19"/>
      <c r="J4" s="192" t="s">
        <v>9</v>
      </c>
      <c r="K4" s="20"/>
      <c r="L4" s="148"/>
      <c r="M4" s="149"/>
      <c r="N4" s="148"/>
      <c r="O4" s="149"/>
      <c r="P4" s="14"/>
    </row>
    <row r="5" spans="1:16" ht="15.75" x14ac:dyDescent="0.3">
      <c r="A5" s="59" t="s">
        <v>10</v>
      </c>
      <c r="B5" s="182"/>
      <c r="C5" s="60" t="s">
        <v>11</v>
      </c>
      <c r="D5" s="144">
        <f>'C'!F18</f>
        <v>53828</v>
      </c>
      <c r="E5" s="145">
        <f>D5/D6</f>
        <v>0.23507473278525651</v>
      </c>
      <c r="F5" s="144">
        <f>'C'!G18</f>
        <v>122481</v>
      </c>
      <c r="G5" s="145">
        <f>F5/F6</f>
        <v>0.39987332659700719</v>
      </c>
      <c r="H5" s="56"/>
      <c r="I5" s="21" t="s">
        <v>12</v>
      </c>
      <c r="J5" s="193"/>
      <c r="K5" s="23" t="s">
        <v>13</v>
      </c>
      <c r="L5" s="144">
        <f>'C'!F39</f>
        <v>515664</v>
      </c>
      <c r="M5" s="157">
        <f>L5/L6</f>
        <v>1.1860697799050985</v>
      </c>
      <c r="N5" s="144">
        <f>'C'!G39</f>
        <v>611186</v>
      </c>
      <c r="O5" s="157">
        <f>N5/N6</f>
        <v>1.1615884020951643</v>
      </c>
      <c r="P5" s="14"/>
    </row>
    <row r="6" spans="1:16" ht="15.75" x14ac:dyDescent="0.3">
      <c r="A6" s="71"/>
      <c r="B6" s="182"/>
      <c r="C6" s="61" t="s">
        <v>14</v>
      </c>
      <c r="D6" s="144">
        <f>('C'!F47 +'C'!E47)/2</f>
        <v>228982.5</v>
      </c>
      <c r="E6" s="145"/>
      <c r="F6" s="144">
        <f>('C'!G47+'C'!F47)/2</f>
        <v>306299.5</v>
      </c>
      <c r="G6" s="145"/>
      <c r="H6" s="62"/>
      <c r="I6" s="21"/>
      <c r="J6" s="193"/>
      <c r="K6" s="26" t="s">
        <v>15</v>
      </c>
      <c r="L6" s="144">
        <f>'C'!F41</f>
        <v>434767</v>
      </c>
      <c r="M6" s="145"/>
      <c r="N6" s="144">
        <f>'C'!G41</f>
        <v>526164</v>
      </c>
      <c r="O6" s="145"/>
      <c r="P6" s="14"/>
    </row>
    <row r="7" spans="1:16" ht="16.5" thickBot="1" x14ac:dyDescent="0.35">
      <c r="A7" s="72"/>
      <c r="B7" s="183"/>
      <c r="C7" s="63"/>
      <c r="D7" s="146"/>
      <c r="E7" s="147"/>
      <c r="F7" s="146"/>
      <c r="G7" s="147"/>
      <c r="H7" s="62"/>
      <c r="I7" s="28"/>
      <c r="J7" s="194"/>
      <c r="K7" s="29"/>
      <c r="L7" s="146"/>
      <c r="M7" s="147"/>
      <c r="N7" s="146"/>
      <c r="O7" s="147"/>
      <c r="P7" s="30"/>
    </row>
    <row r="8" spans="1:16" ht="15.75" x14ac:dyDescent="0.3">
      <c r="A8" s="73"/>
      <c r="B8" s="181" t="s">
        <v>16</v>
      </c>
      <c r="C8" s="58"/>
      <c r="D8" s="148"/>
      <c r="E8" s="149"/>
      <c r="F8" s="148"/>
      <c r="G8" s="149"/>
      <c r="H8" s="62"/>
      <c r="I8" s="195" t="s">
        <v>17</v>
      </c>
      <c r="J8" s="192" t="s">
        <v>18</v>
      </c>
      <c r="K8" s="20"/>
      <c r="L8" s="148"/>
      <c r="M8" s="149"/>
      <c r="N8" s="161"/>
      <c r="O8" s="149"/>
      <c r="P8" s="14"/>
    </row>
    <row r="9" spans="1:16" ht="15.75" x14ac:dyDescent="0.3">
      <c r="A9" s="71" t="s">
        <v>19</v>
      </c>
      <c r="B9" s="182"/>
      <c r="C9" s="60" t="s">
        <v>20</v>
      </c>
      <c r="D9" s="144">
        <f>'C'!F6</f>
        <v>173516</v>
      </c>
      <c r="E9" s="145">
        <f>D9/D10</f>
        <v>0.27276299945609628</v>
      </c>
      <c r="F9" s="144">
        <f>'C'!G6</f>
        <v>243953</v>
      </c>
      <c r="G9" s="145">
        <f>F9/F10</f>
        <v>0.29668470022079296</v>
      </c>
      <c r="H9" s="62"/>
      <c r="I9" s="196"/>
      <c r="J9" s="193"/>
      <c r="K9" s="23" t="s">
        <v>21</v>
      </c>
      <c r="L9" s="157">
        <f>(B54/'C'!F4)</f>
        <v>0.23361883323818677</v>
      </c>
      <c r="M9" s="162">
        <f>L9/L10</f>
        <v>1.4176334113247366</v>
      </c>
      <c r="N9" s="157">
        <f>C54/'C'!G4</f>
        <v>0.31028660027812854</v>
      </c>
      <c r="O9" s="162">
        <f>N9/N10</f>
        <v>1.6272850008833637</v>
      </c>
      <c r="P9" s="31"/>
    </row>
    <row r="10" spans="1:16" ht="15.75" x14ac:dyDescent="0.3">
      <c r="A10" s="71"/>
      <c r="B10" s="182"/>
      <c r="C10" s="61" t="s">
        <v>22</v>
      </c>
      <c r="D10" s="144">
        <f>('C'!E38+'C'!F38)/2</f>
        <v>636142</v>
      </c>
      <c r="E10" s="145"/>
      <c r="F10" s="144">
        <f>('C'!F38+'C'!G38)/2</f>
        <v>822263.5</v>
      </c>
      <c r="G10" s="145"/>
      <c r="H10" s="62"/>
      <c r="I10" s="196"/>
      <c r="J10" s="193"/>
      <c r="K10" s="26" t="s">
        <v>23</v>
      </c>
      <c r="L10" s="157">
        <f>(B55/'C'!F5)*(-1)</f>
        <v>0.16479495430336738</v>
      </c>
      <c r="M10" s="145"/>
      <c r="N10" s="157">
        <f>(C55/'C'!G5)*(-1)</f>
        <v>0.19067747819815889</v>
      </c>
      <c r="O10" s="145"/>
      <c r="P10" s="14"/>
    </row>
    <row r="11" spans="1:16" ht="16.5" thickBot="1" x14ac:dyDescent="0.35">
      <c r="A11" s="72"/>
      <c r="B11" s="183"/>
      <c r="C11" s="63"/>
      <c r="D11" s="146"/>
      <c r="E11" s="147"/>
      <c r="F11" s="146"/>
      <c r="G11" s="147"/>
      <c r="H11" s="62"/>
      <c r="I11" s="197"/>
      <c r="J11" s="194"/>
      <c r="K11" s="29"/>
      <c r="L11" s="146"/>
      <c r="M11" s="147"/>
      <c r="N11" s="146"/>
      <c r="O11" s="147"/>
      <c r="P11" s="14"/>
    </row>
    <row r="12" spans="1:16" ht="15.75" x14ac:dyDescent="0.3">
      <c r="A12" s="73"/>
      <c r="B12" s="181" t="s">
        <v>24</v>
      </c>
      <c r="C12" s="58"/>
      <c r="D12" s="148"/>
      <c r="E12" s="149"/>
      <c r="F12" s="148"/>
      <c r="G12" s="149"/>
      <c r="H12" s="62"/>
      <c r="I12" s="19"/>
      <c r="J12" s="184" t="s">
        <v>25</v>
      </c>
      <c r="K12" s="20"/>
      <c r="L12" s="148"/>
      <c r="M12" s="149"/>
      <c r="N12" s="148"/>
      <c r="O12" s="149"/>
      <c r="P12" s="14"/>
    </row>
    <row r="13" spans="1:16" ht="16.5" thickBot="1" x14ac:dyDescent="0.35">
      <c r="A13" s="71" t="s">
        <v>26</v>
      </c>
      <c r="B13" s="182"/>
      <c r="C13" s="64" t="s">
        <v>11</v>
      </c>
      <c r="D13" s="144">
        <f>D5</f>
        <v>53828</v>
      </c>
      <c r="E13" s="145">
        <f>D13/D14</f>
        <v>4.8622301872339811E-2</v>
      </c>
      <c r="F13" s="144">
        <f>F5</f>
        <v>122481</v>
      </c>
      <c r="G13" s="145">
        <f>F13/F14</f>
        <v>7.8311408065727853E-2</v>
      </c>
      <c r="H13" s="62"/>
      <c r="I13" s="21" t="s">
        <v>27</v>
      </c>
      <c r="J13" s="185"/>
      <c r="K13" s="23" t="s">
        <v>28</v>
      </c>
      <c r="L13" s="144">
        <f>L5-2670</f>
        <v>512994</v>
      </c>
      <c r="M13" s="162">
        <f>L13/L14</f>
        <v>1.1799285594352837</v>
      </c>
      <c r="N13" s="144">
        <f>N5-170</f>
        <v>611016</v>
      </c>
      <c r="O13" s="162">
        <f>N13/N14</f>
        <v>1.1612653089150911</v>
      </c>
      <c r="P13" s="14"/>
    </row>
    <row r="14" spans="1:16" ht="15.75" x14ac:dyDescent="0.3">
      <c r="A14" s="71"/>
      <c r="B14" s="182"/>
      <c r="C14" s="61" t="s">
        <v>0</v>
      </c>
      <c r="D14" s="144">
        <f>'C'!F4</f>
        <v>1107064</v>
      </c>
      <c r="E14" s="145"/>
      <c r="F14" s="144">
        <f>'C'!G4</f>
        <v>1564025</v>
      </c>
      <c r="G14" s="145"/>
      <c r="H14" s="62"/>
      <c r="I14" s="21"/>
      <c r="J14" s="185"/>
      <c r="K14" s="26" t="s">
        <v>15</v>
      </c>
      <c r="L14" s="144">
        <f>L6</f>
        <v>434767</v>
      </c>
      <c r="M14" s="145"/>
      <c r="N14" s="144">
        <f>N6</f>
        <v>526164</v>
      </c>
      <c r="O14" s="145"/>
      <c r="P14" s="14"/>
    </row>
    <row r="15" spans="1:16" ht="16.5" thickBot="1" x14ac:dyDescent="0.35">
      <c r="A15" s="72"/>
      <c r="B15" s="183"/>
      <c r="C15" s="63"/>
      <c r="D15" s="146"/>
      <c r="E15" s="147"/>
      <c r="F15" s="146"/>
      <c r="G15" s="147"/>
      <c r="H15" s="62"/>
      <c r="I15" s="28"/>
      <c r="J15" s="186"/>
      <c r="K15" s="29"/>
      <c r="L15" s="146"/>
      <c r="M15" s="147"/>
      <c r="N15" s="146"/>
      <c r="O15" s="147"/>
      <c r="P15" s="14"/>
    </row>
    <row r="16" spans="1:16" ht="15.75" x14ac:dyDescent="0.3">
      <c r="A16" s="73"/>
      <c r="B16" s="181" t="s">
        <v>29</v>
      </c>
      <c r="C16" s="76"/>
      <c r="D16" s="148"/>
      <c r="E16" s="150"/>
      <c r="F16" s="148"/>
      <c r="G16" s="149"/>
      <c r="H16" s="62"/>
      <c r="I16" s="19"/>
      <c r="J16" s="192" t="s">
        <v>30</v>
      </c>
      <c r="K16" s="20"/>
      <c r="L16" s="148"/>
      <c r="M16" s="149"/>
      <c r="N16" s="148"/>
      <c r="O16" s="149"/>
      <c r="P16" s="14"/>
    </row>
    <row r="17" spans="1:16" ht="15.75" x14ac:dyDescent="0.3">
      <c r="A17" s="71" t="s">
        <v>31</v>
      </c>
      <c r="B17" s="182"/>
      <c r="C17" s="74" t="s">
        <v>32</v>
      </c>
      <c r="D17" s="144">
        <f>(D9*D14)</f>
        <v>192093317024</v>
      </c>
      <c r="E17" s="151">
        <f>D17/D18</f>
        <v>0.27276299945609628</v>
      </c>
      <c r="F17" s="144">
        <f>F9*F14</f>
        <v>381548590825</v>
      </c>
      <c r="G17" s="145">
        <f>F17/F18</f>
        <v>0.29668470022079296</v>
      </c>
      <c r="H17" s="62"/>
      <c r="I17" s="21" t="s">
        <v>33</v>
      </c>
      <c r="J17" s="193"/>
      <c r="K17" s="23" t="s">
        <v>34</v>
      </c>
      <c r="L17" s="144">
        <f>'C'!F45+(28617/1000)</f>
        <v>133165.617</v>
      </c>
      <c r="M17" s="162">
        <f>L17/L18</f>
        <v>0.30629191497974778</v>
      </c>
      <c r="N17" s="144">
        <f>'C'!G45</f>
        <v>67359</v>
      </c>
      <c r="O17" s="162">
        <f>N17/N18</f>
        <v>0.12801902068556573</v>
      </c>
      <c r="P17" s="14"/>
    </row>
    <row r="18" spans="1:16" ht="15.75" x14ac:dyDescent="0.3">
      <c r="A18" s="71"/>
      <c r="B18" s="182"/>
      <c r="C18" s="75" t="s">
        <v>35</v>
      </c>
      <c r="D18" s="144">
        <f>D14*D10</f>
        <v>704249907088</v>
      </c>
      <c r="E18" s="151"/>
      <c r="F18" s="144">
        <f>F14*F10</f>
        <v>1286040670587.5</v>
      </c>
      <c r="G18" s="145"/>
      <c r="H18" s="62"/>
      <c r="I18" s="21"/>
      <c r="J18" s="193"/>
      <c r="K18" s="26" t="s">
        <v>15</v>
      </c>
      <c r="L18" s="144">
        <f>L6</f>
        <v>434767</v>
      </c>
      <c r="M18" s="145"/>
      <c r="N18" s="144">
        <f>N6</f>
        <v>526164</v>
      </c>
      <c r="O18" s="145"/>
      <c r="P18" s="14"/>
    </row>
    <row r="19" spans="1:16" ht="16.5" thickBot="1" x14ac:dyDescent="0.35">
      <c r="A19" s="72"/>
      <c r="B19" s="183"/>
      <c r="C19" s="77"/>
      <c r="D19" s="146"/>
      <c r="E19" s="152"/>
      <c r="F19" s="146"/>
      <c r="G19" s="145"/>
      <c r="H19" s="62"/>
      <c r="I19" s="28"/>
      <c r="J19" s="194"/>
      <c r="K19" s="29"/>
      <c r="L19" s="146"/>
      <c r="M19" s="147"/>
      <c r="N19" s="146"/>
      <c r="O19" s="147"/>
      <c r="P19" s="14"/>
    </row>
    <row r="20" spans="1:16" ht="15.75" x14ac:dyDescent="0.3">
      <c r="A20" s="73"/>
      <c r="B20" s="181" t="s">
        <v>36</v>
      </c>
      <c r="C20" s="58"/>
      <c r="D20" s="148"/>
      <c r="E20" s="153"/>
      <c r="F20" s="154"/>
      <c r="G20" s="155"/>
      <c r="H20" s="62"/>
      <c r="I20" s="19"/>
      <c r="J20" s="192" t="s">
        <v>37</v>
      </c>
      <c r="K20" s="20"/>
      <c r="L20" s="148"/>
      <c r="M20" s="149"/>
      <c r="N20" s="148"/>
      <c r="O20" s="149"/>
      <c r="P20" s="14"/>
    </row>
    <row r="21" spans="1:16" ht="15.75" x14ac:dyDescent="0.3">
      <c r="A21" s="71" t="s">
        <v>38</v>
      </c>
      <c r="B21" s="182"/>
      <c r="C21" s="60" t="s">
        <v>10</v>
      </c>
      <c r="D21" s="156">
        <f>E5</f>
        <v>0.23507473278525651</v>
      </c>
      <c r="E21" s="157">
        <f>D21/D22</f>
        <v>0.86182778915764913</v>
      </c>
      <c r="F21" s="158">
        <f>G5</f>
        <v>0.39987332659700719</v>
      </c>
      <c r="G21" s="157">
        <f>F21/F22</f>
        <v>1.3478056883264327</v>
      </c>
      <c r="H21" s="62"/>
      <c r="I21" s="21" t="s">
        <v>39</v>
      </c>
      <c r="J21" s="193"/>
      <c r="K21" s="23" t="s">
        <v>40</v>
      </c>
      <c r="L21" s="144">
        <f>D33</f>
        <v>264422</v>
      </c>
      <c r="M21" s="162">
        <f>L21/L22</f>
        <v>1.2071363028363518</v>
      </c>
      <c r="N21" s="144">
        <f>F33</f>
        <v>348177</v>
      </c>
      <c r="O21" s="162">
        <f>N21/N22</f>
        <v>1.1659221506355733</v>
      </c>
      <c r="P21" s="14"/>
    </row>
    <row r="22" spans="1:16" ht="15.75" x14ac:dyDescent="0.3">
      <c r="A22" s="71"/>
      <c r="B22" s="182"/>
      <c r="C22" s="61" t="s">
        <v>41</v>
      </c>
      <c r="D22" s="156">
        <f>E9</f>
        <v>0.27276299945609628</v>
      </c>
      <c r="E22" s="156"/>
      <c r="F22" s="158">
        <f>G9</f>
        <v>0.29668470022079296</v>
      </c>
      <c r="G22" s="156"/>
      <c r="H22" s="62"/>
      <c r="I22" s="21"/>
      <c r="J22" s="193"/>
      <c r="K22" s="26" t="s">
        <v>42</v>
      </c>
      <c r="L22" s="144">
        <f>'C'!F38-'C'!F39</f>
        <v>219049</v>
      </c>
      <c r="M22" s="162"/>
      <c r="N22" s="144">
        <f>'C'!G38-'C'!G39</f>
        <v>298628</v>
      </c>
      <c r="O22" s="162"/>
      <c r="P22" s="14"/>
    </row>
    <row r="23" spans="1:16" ht="16.5" thickBot="1" x14ac:dyDescent="0.35">
      <c r="A23" s="72"/>
      <c r="B23" s="183"/>
      <c r="C23" s="63"/>
      <c r="D23" s="146"/>
      <c r="E23" s="156"/>
      <c r="F23" s="159"/>
      <c r="G23" s="160"/>
      <c r="H23" s="62"/>
      <c r="I23" s="28"/>
      <c r="J23" s="194"/>
      <c r="K23" s="29"/>
      <c r="L23" s="146"/>
      <c r="M23" s="147"/>
      <c r="N23" s="146"/>
      <c r="O23" s="147"/>
      <c r="P23" s="14"/>
    </row>
    <row r="24" spans="1:16" ht="15.75" x14ac:dyDescent="0.3">
      <c r="A24" s="73"/>
      <c r="B24" s="181" t="s">
        <v>43</v>
      </c>
      <c r="C24" s="58"/>
      <c r="D24" s="148"/>
      <c r="E24" s="149"/>
      <c r="F24" s="148"/>
      <c r="G24" s="149"/>
      <c r="H24" s="62"/>
      <c r="I24" s="19"/>
      <c r="J24" s="192" t="s">
        <v>44</v>
      </c>
      <c r="K24" s="20"/>
      <c r="L24" s="148"/>
      <c r="M24" s="149"/>
      <c r="N24" s="148"/>
      <c r="O24" s="149"/>
      <c r="P24" s="14"/>
    </row>
    <row r="25" spans="1:16" ht="16.5" x14ac:dyDescent="0.35">
      <c r="A25" s="71" t="s">
        <v>45</v>
      </c>
      <c r="B25" s="182"/>
      <c r="C25" s="60" t="s">
        <v>46</v>
      </c>
      <c r="D25" s="144">
        <f>B52</f>
        <v>9352</v>
      </c>
      <c r="E25" s="145">
        <f>D25/D26</f>
        <v>2.2968885657831881E-2</v>
      </c>
      <c r="F25" s="144">
        <f>C52</f>
        <v>20113</v>
      </c>
      <c r="G25" s="145">
        <f>F25/F26</f>
        <v>3.8981401803226581E-2</v>
      </c>
      <c r="H25" s="62"/>
      <c r="I25" s="21" t="s">
        <v>47</v>
      </c>
      <c r="J25" s="193"/>
      <c r="K25" s="23" t="s">
        <v>3</v>
      </c>
      <c r="L25" s="144">
        <f>'C'!F25</f>
        <v>114804</v>
      </c>
      <c r="M25" s="162">
        <f>L25/L26</f>
        <v>0.10370132169413873</v>
      </c>
      <c r="N25" s="144">
        <f>'C'!G25</f>
        <v>193668</v>
      </c>
      <c r="O25" s="162">
        <f>N25/N26</f>
        <v>0.12382666517478941</v>
      </c>
      <c r="P25" s="32"/>
    </row>
    <row r="26" spans="1:16" ht="15.75" x14ac:dyDescent="0.3">
      <c r="A26" s="71" t="s">
        <v>151</v>
      </c>
      <c r="B26" s="182"/>
      <c r="C26" s="61" t="s">
        <v>48</v>
      </c>
      <c r="D26" s="144">
        <f>('C'!E40+'C'!F40)/2</f>
        <v>407159.5</v>
      </c>
      <c r="E26" s="145"/>
      <c r="F26" s="144">
        <f>('C'!F40+'C'!G40)/2</f>
        <v>515964</v>
      </c>
      <c r="G26" s="145"/>
      <c r="H26" s="62"/>
      <c r="I26" s="21"/>
      <c r="J26" s="193"/>
      <c r="K26" s="26" t="s">
        <v>0</v>
      </c>
      <c r="L26" s="144">
        <f>D14</f>
        <v>1107064</v>
      </c>
      <c r="M26" s="145"/>
      <c r="N26" s="144">
        <f>F14</f>
        <v>1564025</v>
      </c>
      <c r="O26" s="145"/>
      <c r="P26" s="14"/>
    </row>
    <row r="27" spans="1:16" ht="16.5" thickBot="1" x14ac:dyDescent="0.35">
      <c r="A27" s="72"/>
      <c r="B27" s="183"/>
      <c r="C27" s="63"/>
      <c r="D27" s="146"/>
      <c r="E27" s="147"/>
      <c r="F27" s="146"/>
      <c r="G27" s="147"/>
      <c r="H27" s="62"/>
      <c r="I27" s="28"/>
      <c r="J27" s="194"/>
      <c r="K27" s="29"/>
      <c r="L27" s="146"/>
      <c r="M27" s="147"/>
      <c r="N27" s="146"/>
      <c r="O27" s="147"/>
      <c r="P27" s="14"/>
    </row>
    <row r="28" spans="1:16" ht="15.75" x14ac:dyDescent="0.3">
      <c r="A28" s="65"/>
      <c r="B28" s="62"/>
      <c r="C28" s="62"/>
      <c r="D28" s="66"/>
      <c r="E28" s="67"/>
      <c r="F28" s="66"/>
      <c r="G28" s="67"/>
      <c r="H28" s="62"/>
      <c r="I28" s="14"/>
      <c r="J28" s="14"/>
      <c r="K28" s="14"/>
      <c r="L28" s="14"/>
      <c r="M28" s="17"/>
      <c r="N28" s="14"/>
      <c r="O28" s="17"/>
      <c r="P28" s="14"/>
    </row>
    <row r="29" spans="1:16" ht="16.5" thickBot="1" x14ac:dyDescent="0.35">
      <c r="A29" s="65"/>
      <c r="B29" s="62"/>
      <c r="C29" s="70"/>
      <c r="D29" s="66"/>
      <c r="E29" s="67"/>
      <c r="F29" s="66"/>
      <c r="G29" s="67"/>
      <c r="H29" s="62"/>
      <c r="I29" s="14"/>
      <c r="J29" s="14"/>
      <c r="K29" s="14"/>
      <c r="L29" s="14"/>
      <c r="M29" s="17"/>
      <c r="N29" s="14"/>
      <c r="O29" s="17"/>
      <c r="P29" s="14"/>
    </row>
    <row r="30" spans="1:16" ht="16.5" thickBot="1" x14ac:dyDescent="0.35">
      <c r="A30" s="187" t="s">
        <v>49</v>
      </c>
      <c r="B30" s="188"/>
      <c r="C30" s="188"/>
      <c r="D30" s="188"/>
      <c r="E30" s="188"/>
      <c r="F30" s="188"/>
      <c r="G30" s="189"/>
      <c r="H30" s="25"/>
      <c r="I30" s="187" t="s">
        <v>50</v>
      </c>
      <c r="J30" s="188"/>
      <c r="K30" s="188"/>
      <c r="L30" s="188"/>
      <c r="M30" s="188"/>
      <c r="N30" s="188"/>
      <c r="O30" s="189"/>
      <c r="P30" s="14"/>
    </row>
    <row r="31" spans="1:16" ht="16.5" thickBot="1" x14ac:dyDescent="0.35">
      <c r="A31" s="190" t="s">
        <v>5</v>
      </c>
      <c r="B31" s="191" t="s">
        <v>6</v>
      </c>
      <c r="C31" s="49" t="s">
        <v>7</v>
      </c>
      <c r="D31" s="51" t="s">
        <v>88</v>
      </c>
      <c r="E31" s="50"/>
      <c r="F31" s="51" t="s">
        <v>87</v>
      </c>
      <c r="G31" s="50"/>
      <c r="H31" s="25"/>
      <c r="I31" s="190" t="s">
        <v>5</v>
      </c>
      <c r="J31" s="191" t="s">
        <v>6</v>
      </c>
      <c r="K31" s="49" t="s">
        <v>7</v>
      </c>
      <c r="L31" s="50" t="s">
        <v>88</v>
      </c>
      <c r="M31" s="49"/>
      <c r="N31" s="50" t="s">
        <v>87</v>
      </c>
      <c r="O31" s="50"/>
      <c r="P31" s="14"/>
    </row>
    <row r="32" spans="1:16" ht="15.75" x14ac:dyDescent="0.3">
      <c r="A32" s="19"/>
      <c r="B32" s="192" t="s">
        <v>51</v>
      </c>
      <c r="C32" s="18"/>
      <c r="D32" s="148"/>
      <c r="E32" s="149"/>
      <c r="F32" s="148"/>
      <c r="G32" s="149"/>
      <c r="H32" s="25"/>
      <c r="I32" s="19"/>
      <c r="J32" s="192" t="s">
        <v>52</v>
      </c>
      <c r="K32" s="20"/>
      <c r="L32" s="148"/>
      <c r="M32" s="149"/>
      <c r="N32" s="148"/>
      <c r="O32" s="149"/>
      <c r="P32" s="14"/>
    </row>
    <row r="33" spans="1:19" ht="15.75" x14ac:dyDescent="0.3">
      <c r="A33" s="21" t="s">
        <v>53</v>
      </c>
      <c r="B33" s="193"/>
      <c r="C33" s="22" t="s">
        <v>40</v>
      </c>
      <c r="D33" s="144">
        <f>'C'!F47</f>
        <v>264422</v>
      </c>
      <c r="E33" s="162">
        <f>D33/D34</f>
        <v>0.35989835486781913</v>
      </c>
      <c r="F33" s="144">
        <f>'C'!G47</f>
        <v>348177</v>
      </c>
      <c r="G33" s="162">
        <f>F33/F34</f>
        <v>0.38269030812891425</v>
      </c>
      <c r="H33" s="25"/>
      <c r="I33" s="21" t="s">
        <v>54</v>
      </c>
      <c r="J33" s="193"/>
      <c r="K33" s="23" t="s">
        <v>55</v>
      </c>
      <c r="L33" s="144">
        <f>B54</f>
        <v>258631</v>
      </c>
      <c r="M33" s="162">
        <f>L33/L34</f>
        <v>0.23361883323818677</v>
      </c>
      <c r="N33" s="144">
        <f>C54</f>
        <v>485296</v>
      </c>
      <c r="O33" s="162">
        <f>N33/N34</f>
        <v>0.31028660027812854</v>
      </c>
      <c r="P33" s="14"/>
    </row>
    <row r="34" spans="1:19" ht="15.75" x14ac:dyDescent="0.3">
      <c r="A34" s="21"/>
      <c r="B34" s="193"/>
      <c r="C34" s="24" t="s">
        <v>56</v>
      </c>
      <c r="D34" s="144">
        <f>'C'!F38</f>
        <v>734713</v>
      </c>
      <c r="E34" s="145"/>
      <c r="F34" s="144">
        <f>'C'!G38</f>
        <v>909814</v>
      </c>
      <c r="G34" s="145"/>
      <c r="H34" s="25"/>
      <c r="I34" s="21"/>
      <c r="J34" s="193"/>
      <c r="K34" s="26" t="s">
        <v>0</v>
      </c>
      <c r="L34" s="144">
        <f>L26</f>
        <v>1107064</v>
      </c>
      <c r="M34" s="145"/>
      <c r="N34" s="144">
        <f>N26</f>
        <v>1564025</v>
      </c>
      <c r="O34" s="145"/>
      <c r="P34" s="14"/>
    </row>
    <row r="35" spans="1:19" ht="16.5" thickBot="1" x14ac:dyDescent="0.35">
      <c r="A35" s="28"/>
      <c r="B35" s="194"/>
      <c r="C35" s="27"/>
      <c r="D35" s="146"/>
      <c r="E35" s="147"/>
      <c r="F35" s="146"/>
      <c r="G35" s="147"/>
      <c r="H35" s="25"/>
      <c r="I35" s="28"/>
      <c r="J35" s="194"/>
      <c r="K35" s="29"/>
      <c r="L35" s="146"/>
      <c r="M35" s="145"/>
      <c r="N35" s="146"/>
      <c r="O35" s="147"/>
      <c r="P35" s="14"/>
    </row>
    <row r="36" spans="1:19" ht="15.75" x14ac:dyDescent="0.3">
      <c r="A36" s="19"/>
      <c r="B36" s="192" t="s">
        <v>57</v>
      </c>
      <c r="C36" s="18"/>
      <c r="D36" s="148"/>
      <c r="E36" s="149"/>
      <c r="F36" s="148"/>
      <c r="G36" s="149"/>
      <c r="H36" s="25"/>
      <c r="I36" s="19"/>
      <c r="J36" s="192" t="s">
        <v>58</v>
      </c>
      <c r="K36" s="20"/>
      <c r="L36" s="148"/>
      <c r="M36" s="149"/>
      <c r="N36" s="148"/>
      <c r="O36" s="149"/>
      <c r="P36" s="14"/>
    </row>
    <row r="37" spans="1:19" ht="15.75" x14ac:dyDescent="0.3">
      <c r="A37" s="21" t="s">
        <v>59</v>
      </c>
      <c r="B37" s="193"/>
      <c r="C37" s="22" t="s">
        <v>60</v>
      </c>
      <c r="D37" s="144">
        <f>'C'!F40</f>
        <v>470291</v>
      </c>
      <c r="E37" s="145">
        <f>D37/D38</f>
        <v>1.7785622981446325</v>
      </c>
      <c r="F37" s="144">
        <f>'C'!G40</f>
        <v>561637</v>
      </c>
      <c r="G37" s="145">
        <f>F37/F38</f>
        <v>1.613078979944109</v>
      </c>
      <c r="H37" s="25"/>
      <c r="I37" s="21" t="s">
        <v>61</v>
      </c>
      <c r="J37" s="193"/>
      <c r="K37" s="23" t="s">
        <v>55</v>
      </c>
      <c r="L37" s="144">
        <f>L33</f>
        <v>258631</v>
      </c>
      <c r="M37" s="162">
        <f>L37/L38</f>
        <v>1.2080169830753098</v>
      </c>
      <c r="N37" s="144">
        <f>N33</f>
        <v>485296</v>
      </c>
      <c r="O37" s="162">
        <f>N37/N38</f>
        <v>1.3046871534438191</v>
      </c>
      <c r="P37" s="14"/>
    </row>
    <row r="38" spans="1:19" ht="15.75" x14ac:dyDescent="0.3">
      <c r="A38" s="21"/>
      <c r="B38" s="193"/>
      <c r="C38" s="24" t="s">
        <v>40</v>
      </c>
      <c r="D38" s="144">
        <f>D33</f>
        <v>264422</v>
      </c>
      <c r="E38" s="145"/>
      <c r="F38" s="144">
        <f>F33</f>
        <v>348177</v>
      </c>
      <c r="G38" s="145"/>
      <c r="H38" s="25"/>
      <c r="I38" s="21"/>
      <c r="J38" s="193"/>
      <c r="K38" s="26" t="s">
        <v>155</v>
      </c>
      <c r="L38" s="144">
        <f>(A58+B54)/2</f>
        <v>214095.5</v>
      </c>
      <c r="M38" s="145"/>
      <c r="N38" s="144">
        <f>AVERAGE(B54:C54)</f>
        <v>371963.5</v>
      </c>
      <c r="O38" s="145"/>
      <c r="P38" s="14"/>
    </row>
    <row r="39" spans="1:19" ht="16.5" thickBot="1" x14ac:dyDescent="0.35">
      <c r="A39" s="28"/>
      <c r="B39" s="194"/>
      <c r="C39" s="27"/>
      <c r="D39" s="146"/>
      <c r="E39" s="147"/>
      <c r="F39" s="146"/>
      <c r="G39" s="147"/>
      <c r="H39" s="25"/>
      <c r="I39" s="28"/>
      <c r="J39" s="194"/>
      <c r="K39" s="29"/>
      <c r="L39" s="146"/>
      <c r="M39" s="147"/>
      <c r="N39" s="146"/>
      <c r="O39" s="147"/>
      <c r="P39" s="14"/>
    </row>
    <row r="40" spans="1:19" ht="15.75" x14ac:dyDescent="0.3">
      <c r="A40" s="19"/>
      <c r="B40" s="192" t="s">
        <v>62</v>
      </c>
      <c r="C40" s="18"/>
      <c r="D40" s="148"/>
      <c r="E40" s="149"/>
      <c r="F40" s="148"/>
      <c r="G40" s="149"/>
      <c r="H40" s="25"/>
      <c r="I40" s="36"/>
      <c r="J40" s="198" t="s">
        <v>63</v>
      </c>
      <c r="K40" s="37"/>
      <c r="L40" s="164"/>
      <c r="M40" s="165"/>
      <c r="N40" s="164"/>
      <c r="O40" s="165"/>
      <c r="P40" s="14"/>
      <c r="S40">
        <v>1564025</v>
      </c>
    </row>
    <row r="41" spans="1:19" ht="15.75" x14ac:dyDescent="0.3">
      <c r="A41" s="21" t="s">
        <v>64</v>
      </c>
      <c r="B41" s="193"/>
      <c r="C41" s="22" t="s">
        <v>65</v>
      </c>
      <c r="D41" s="144">
        <f>B53</f>
        <v>32098</v>
      </c>
      <c r="E41" s="145">
        <f>D41/D42</f>
        <v>0.12138929438548986</v>
      </c>
      <c r="F41" s="144">
        <f>C53</f>
        <v>31660</v>
      </c>
      <c r="G41" s="145">
        <f>F41/F42</f>
        <v>9.0930762227257975E-2</v>
      </c>
      <c r="H41" s="25"/>
      <c r="I41" s="38" t="s">
        <v>66</v>
      </c>
      <c r="J41" s="199"/>
      <c r="K41" s="39" t="s">
        <v>0</v>
      </c>
      <c r="L41" s="166">
        <f>L34</f>
        <v>1107064</v>
      </c>
      <c r="M41" s="167">
        <f>L41/L42</f>
        <v>1.7402781140059924</v>
      </c>
      <c r="N41" s="166">
        <v>1564025</v>
      </c>
      <c r="O41" s="167">
        <f>N41/N42</f>
        <v>1.9020970771534915</v>
      </c>
      <c r="P41" s="14"/>
    </row>
    <row r="42" spans="1:19" ht="15.75" x14ac:dyDescent="0.3">
      <c r="A42" s="21"/>
      <c r="B42" s="193"/>
      <c r="C42" s="24" t="s">
        <v>40</v>
      </c>
      <c r="D42" s="144">
        <f>+D38</f>
        <v>264422</v>
      </c>
      <c r="E42" s="145"/>
      <c r="F42" s="144">
        <f>+F38</f>
        <v>348177</v>
      </c>
      <c r="G42" s="145"/>
      <c r="H42" s="25"/>
      <c r="I42" s="40"/>
      <c r="J42" s="199"/>
      <c r="K42" s="41" t="s">
        <v>22</v>
      </c>
      <c r="L42" s="166">
        <f>D10</f>
        <v>636142</v>
      </c>
      <c r="M42" s="168"/>
      <c r="N42" s="166">
        <f>F10</f>
        <v>822263.5</v>
      </c>
      <c r="O42" s="168"/>
      <c r="P42" s="14"/>
    </row>
    <row r="43" spans="1:19" ht="16.5" thickBot="1" x14ac:dyDescent="0.35">
      <c r="A43" s="28"/>
      <c r="B43" s="194"/>
      <c r="C43" s="27"/>
      <c r="D43" s="146"/>
      <c r="E43" s="147"/>
      <c r="F43" s="146"/>
      <c r="G43" s="147"/>
      <c r="H43" s="25"/>
      <c r="I43" s="42"/>
      <c r="J43" s="200"/>
      <c r="K43" s="43"/>
      <c r="L43" s="169"/>
      <c r="M43" s="170"/>
      <c r="N43" s="169"/>
      <c r="O43" s="170"/>
      <c r="P43" s="14"/>
    </row>
    <row r="44" spans="1:19" ht="15.75" x14ac:dyDescent="0.3">
      <c r="A44" s="19"/>
      <c r="B44" s="192" t="s">
        <v>67</v>
      </c>
      <c r="C44" s="18"/>
      <c r="D44" s="148"/>
      <c r="E44" s="149"/>
      <c r="F44" s="148"/>
      <c r="G44" s="149"/>
      <c r="H44" s="25"/>
      <c r="I44" s="36"/>
      <c r="J44" s="198" t="s">
        <v>68</v>
      </c>
      <c r="K44" s="37"/>
      <c r="L44" s="164"/>
      <c r="M44" s="165"/>
      <c r="N44" s="164"/>
      <c r="O44" s="165"/>
      <c r="P44" s="14"/>
    </row>
    <row r="45" spans="1:19" ht="15.75" x14ac:dyDescent="0.3">
      <c r="A45" s="21" t="s">
        <v>69</v>
      </c>
      <c r="B45" s="193"/>
      <c r="C45" s="22" t="s">
        <v>60</v>
      </c>
      <c r="D45" s="144">
        <f>D37</f>
        <v>470291</v>
      </c>
      <c r="E45" s="145">
        <f>D45/D46</f>
        <v>0.64010164513218082</v>
      </c>
      <c r="F45" s="144">
        <f>F37</f>
        <v>561637</v>
      </c>
      <c r="G45" s="145">
        <f>F45/F46</f>
        <v>0.61730969187108575</v>
      </c>
      <c r="H45" s="25"/>
      <c r="I45" s="38" t="s">
        <v>70</v>
      </c>
      <c r="J45" s="199"/>
      <c r="K45" s="39" t="s">
        <v>0</v>
      </c>
      <c r="L45" s="166">
        <f>L34</f>
        <v>1107064</v>
      </c>
      <c r="M45" s="167">
        <f>L45/L46</f>
        <v>2.1468708306183872</v>
      </c>
      <c r="N45" s="166">
        <f>+'[1]Análisis de Tendencia'!$E$68</f>
        <v>852240380</v>
      </c>
      <c r="O45" s="167">
        <f>N45/N46</f>
        <v>2.2860474318149988</v>
      </c>
      <c r="P45" s="14"/>
    </row>
    <row r="46" spans="1:19" ht="15.75" x14ac:dyDescent="0.3">
      <c r="A46" s="21"/>
      <c r="B46" s="193"/>
      <c r="C46" s="24" t="s">
        <v>56</v>
      </c>
      <c r="D46" s="144">
        <f>D34</f>
        <v>734713</v>
      </c>
      <c r="E46" s="145"/>
      <c r="F46" s="144">
        <f>F34</f>
        <v>909814</v>
      </c>
      <c r="G46" s="145"/>
      <c r="H46" s="25"/>
      <c r="I46" s="40"/>
      <c r="J46" s="199"/>
      <c r="K46" s="41" t="s">
        <v>13</v>
      </c>
      <c r="L46" s="166">
        <f>L5</f>
        <v>515664</v>
      </c>
      <c r="M46" s="168"/>
      <c r="N46" s="166">
        <f>+'[1]Análisis de Tendencia'!$E$14</f>
        <v>372800830</v>
      </c>
      <c r="O46" s="168"/>
      <c r="P46" s="14"/>
    </row>
    <row r="47" spans="1:19" ht="16.5" thickBot="1" x14ac:dyDescent="0.35">
      <c r="A47" s="28"/>
      <c r="B47" s="194"/>
      <c r="C47" s="27"/>
      <c r="D47" s="146"/>
      <c r="E47" s="147"/>
      <c r="F47" s="146"/>
      <c r="G47" s="147"/>
      <c r="H47" s="25"/>
      <c r="I47" s="42"/>
      <c r="J47" s="200"/>
      <c r="K47" s="43"/>
      <c r="L47" s="169"/>
      <c r="M47" s="170"/>
      <c r="N47" s="169"/>
      <c r="O47" s="170"/>
      <c r="P47" s="14"/>
    </row>
    <row r="48" spans="1:19" ht="15.75" x14ac:dyDescent="0.3">
      <c r="A48" s="33"/>
      <c r="B48" s="25"/>
      <c r="C48" s="44"/>
      <c r="D48" s="34"/>
      <c r="E48" s="35"/>
      <c r="F48" s="34"/>
      <c r="G48" s="35"/>
      <c r="H48" s="25"/>
      <c r="I48" s="36"/>
      <c r="J48" s="198" t="s">
        <v>71</v>
      </c>
      <c r="K48" s="37"/>
      <c r="L48" s="164"/>
      <c r="M48" s="165"/>
      <c r="N48" s="164"/>
      <c r="O48" s="165"/>
      <c r="P48" s="14"/>
    </row>
    <row r="49" spans="1:16" ht="15.75" x14ac:dyDescent="0.3">
      <c r="A49" s="33" t="s">
        <v>72</v>
      </c>
      <c r="B49" s="25"/>
      <c r="C49" s="45"/>
      <c r="D49" s="45" t="s">
        <v>73</v>
      </c>
      <c r="E49" s="35"/>
      <c r="F49" s="34"/>
      <c r="G49" s="35"/>
      <c r="H49" s="25"/>
      <c r="I49" s="38" t="s">
        <v>74</v>
      </c>
      <c r="J49" s="199"/>
      <c r="K49" s="39" t="s">
        <v>0</v>
      </c>
      <c r="L49" s="166">
        <f>L45</f>
        <v>1107064</v>
      </c>
      <c r="M49" s="167">
        <f>L49/L50</f>
        <v>5.0539559641906608</v>
      </c>
      <c r="N49" s="166">
        <f>N41</f>
        <v>1564025</v>
      </c>
      <c r="O49" s="167">
        <f>N49/N50</f>
        <v>5.2373689004380033</v>
      </c>
      <c r="P49" s="14"/>
    </row>
    <row r="50" spans="1:16" ht="15.75" x14ac:dyDescent="0.3">
      <c r="A50" s="33"/>
      <c r="B50" s="25"/>
      <c r="C50" s="45"/>
      <c r="D50" s="45" t="s">
        <v>75</v>
      </c>
      <c r="E50" s="35"/>
      <c r="F50" s="34"/>
      <c r="G50" s="35"/>
      <c r="H50" s="25"/>
      <c r="I50" s="40"/>
      <c r="J50" s="199"/>
      <c r="K50" s="41" t="s">
        <v>76</v>
      </c>
      <c r="L50" s="166">
        <f>L22</f>
        <v>219049</v>
      </c>
      <c r="M50" s="168"/>
      <c r="N50" s="166">
        <f>N22</f>
        <v>298628</v>
      </c>
      <c r="O50" s="168"/>
      <c r="P50" s="14"/>
    </row>
    <row r="51" spans="1:16" ht="16.5" thickBot="1" x14ac:dyDescent="0.35">
      <c r="A51" s="33"/>
      <c r="B51" s="25">
        <v>2015</v>
      </c>
      <c r="C51" s="163">
        <v>2016</v>
      </c>
      <c r="D51" s="45" t="s">
        <v>77</v>
      </c>
      <c r="E51" s="35"/>
      <c r="F51" s="34"/>
      <c r="G51" s="35"/>
      <c r="H51" s="25"/>
      <c r="I51" s="42"/>
      <c r="J51" s="200"/>
      <c r="K51" s="43"/>
      <c r="L51" s="169"/>
      <c r="M51" s="170"/>
      <c r="N51" s="169"/>
      <c r="O51" s="170"/>
      <c r="P51" s="14"/>
    </row>
    <row r="52" spans="1:16" ht="15.75" x14ac:dyDescent="0.3">
      <c r="A52" s="14" t="s">
        <v>150</v>
      </c>
      <c r="B52" s="14">
        <v>9352</v>
      </c>
      <c r="C52" s="14">
        <v>20113</v>
      </c>
      <c r="D52" s="14"/>
      <c r="E52" s="15"/>
      <c r="F52" s="15"/>
      <c r="G52" s="16"/>
      <c r="H52" s="17"/>
      <c r="I52" s="36"/>
      <c r="J52" s="198"/>
      <c r="K52" s="37"/>
      <c r="L52" s="164"/>
      <c r="M52" s="165"/>
      <c r="N52" s="164"/>
      <c r="O52" s="165"/>
      <c r="P52" s="14"/>
    </row>
    <row r="53" spans="1:16" ht="15.75" x14ac:dyDescent="0.3">
      <c r="A53" s="14" t="s">
        <v>65</v>
      </c>
      <c r="B53" s="14">
        <v>32098</v>
      </c>
      <c r="C53" s="14">
        <v>31660</v>
      </c>
      <c r="D53" s="14"/>
      <c r="E53" s="15"/>
      <c r="F53" s="15"/>
      <c r="G53" s="16"/>
      <c r="H53" s="17"/>
      <c r="I53" s="38" t="s">
        <v>78</v>
      </c>
      <c r="J53" s="199"/>
      <c r="K53" s="39" t="s">
        <v>79</v>
      </c>
      <c r="L53" s="166">
        <f>'C'!F6</f>
        <v>173516</v>
      </c>
      <c r="M53" s="167">
        <f>L53/L54</f>
        <v>0.67090178671543632</v>
      </c>
      <c r="N53" s="166">
        <f>'C'!G6</f>
        <v>243953</v>
      </c>
      <c r="O53" s="167">
        <f>N53/N54</f>
        <v>0.50268908047871819</v>
      </c>
      <c r="P53" s="46"/>
    </row>
    <row r="54" spans="1:16" ht="15.75" x14ac:dyDescent="0.3">
      <c r="A54" s="14" t="s">
        <v>152</v>
      </c>
      <c r="B54" s="14">
        <v>258631</v>
      </c>
      <c r="C54" s="14">
        <v>485296</v>
      </c>
      <c r="D54" s="14">
        <v>2016</v>
      </c>
      <c r="E54" s="15">
        <v>2015</v>
      </c>
      <c r="F54" s="15"/>
      <c r="G54" s="16"/>
      <c r="H54" s="17"/>
      <c r="I54" s="40"/>
      <c r="J54" s="199"/>
      <c r="K54" s="41" t="s">
        <v>80</v>
      </c>
      <c r="L54" s="166">
        <f>B54</f>
        <v>258631</v>
      </c>
      <c r="M54" s="167"/>
      <c r="N54" s="166">
        <f>C54</f>
        <v>485296</v>
      </c>
      <c r="O54" s="168"/>
      <c r="P54" s="14"/>
    </row>
    <row r="55" spans="1:16" ht="16.5" thickBot="1" x14ac:dyDescent="0.35">
      <c r="A55" s="14" t="s">
        <v>153</v>
      </c>
      <c r="B55" s="14">
        <v>153844</v>
      </c>
      <c r="C55" s="14">
        <v>251708</v>
      </c>
      <c r="D55" s="14">
        <v>2947</v>
      </c>
      <c r="E55" s="15">
        <v>2423</v>
      </c>
      <c r="F55" s="15"/>
      <c r="G55" s="16"/>
      <c r="H55" s="17"/>
      <c r="I55" s="42"/>
      <c r="J55" s="200"/>
      <c r="K55" s="43"/>
      <c r="L55" s="169"/>
      <c r="M55" s="170"/>
      <c r="N55" s="169"/>
      <c r="O55" s="170"/>
      <c r="P55" s="14"/>
    </row>
    <row r="56" spans="1:16" ht="15.75" x14ac:dyDescent="0.3">
      <c r="A56" s="14" t="s">
        <v>154</v>
      </c>
      <c r="B56" s="14">
        <v>5462</v>
      </c>
      <c r="C56" s="14">
        <v>2500</v>
      </c>
      <c r="D56" s="14">
        <v>17166</v>
      </c>
      <c r="E56" s="15">
        <v>6929</v>
      </c>
      <c r="F56" s="15"/>
      <c r="G56" s="16"/>
      <c r="H56" s="17"/>
      <c r="I56" s="36"/>
      <c r="J56" s="198"/>
      <c r="K56" s="37"/>
      <c r="L56" s="164"/>
      <c r="M56" s="165"/>
      <c r="N56" s="164"/>
      <c r="O56" s="165"/>
      <c r="P56" s="14"/>
    </row>
    <row r="57" spans="1:16" ht="15.75" x14ac:dyDescent="0.3">
      <c r="A57" s="14"/>
      <c r="B57" s="14"/>
      <c r="C57" s="14"/>
      <c r="D57" s="14"/>
      <c r="E57" s="15"/>
      <c r="F57" s="15"/>
      <c r="G57" s="16"/>
      <c r="H57" s="17"/>
      <c r="I57" s="38" t="s">
        <v>81</v>
      </c>
      <c r="J57" s="199"/>
      <c r="K57" s="39" t="s">
        <v>82</v>
      </c>
      <c r="L57" s="166">
        <f>((10588+2670)/2)*365</f>
        <v>2419585</v>
      </c>
      <c r="M57" s="167">
        <f>L57/L58</f>
        <v>2.5918163822320865</v>
      </c>
      <c r="N57" s="166">
        <f>((170+2670)/2)*365</f>
        <v>518300</v>
      </c>
      <c r="O57" s="167">
        <f>N57/N58</f>
        <v>0.3926300989642989</v>
      </c>
      <c r="P57" s="14"/>
    </row>
    <row r="58" spans="1:16" ht="15.75" x14ac:dyDescent="0.3">
      <c r="A58" s="14">
        <v>169560</v>
      </c>
      <c r="B58" s="14"/>
      <c r="C58" s="14"/>
      <c r="D58" s="14"/>
      <c r="E58" s="15"/>
      <c r="F58" s="15"/>
      <c r="G58" s="16"/>
      <c r="H58" s="17"/>
      <c r="I58" s="40" t="s">
        <v>83</v>
      </c>
      <c r="J58" s="199"/>
      <c r="K58" s="41" t="s">
        <v>84</v>
      </c>
      <c r="L58" s="166">
        <f>'C'!F5*(-1)</f>
        <v>933548</v>
      </c>
      <c r="M58" s="168"/>
      <c r="N58" s="166">
        <f>'C'!G5*(-1)</f>
        <v>1320072</v>
      </c>
      <c r="O58" s="168"/>
      <c r="P58" s="14"/>
    </row>
    <row r="59" spans="1:16" ht="16.5" thickBot="1" x14ac:dyDescent="0.35">
      <c r="A59" s="14"/>
      <c r="B59" s="14"/>
      <c r="C59" s="14"/>
      <c r="D59" s="15"/>
      <c r="E59" s="16"/>
      <c r="F59" s="15"/>
      <c r="G59" s="16"/>
      <c r="H59" s="17"/>
      <c r="I59" s="42"/>
      <c r="J59" s="200"/>
      <c r="K59" s="43"/>
      <c r="L59" s="169"/>
      <c r="M59" s="170"/>
      <c r="N59" s="169"/>
      <c r="O59" s="170"/>
      <c r="P59" s="14"/>
    </row>
    <row r="60" spans="1:16" ht="15.75" x14ac:dyDescent="0.3">
      <c r="A60" s="14"/>
      <c r="B60" s="14"/>
      <c r="C60" s="14"/>
      <c r="D60" s="15"/>
      <c r="E60" s="16"/>
      <c r="F60" s="15"/>
      <c r="G60" s="16"/>
      <c r="H60" s="17"/>
      <c r="I60" s="36"/>
      <c r="J60" s="198"/>
      <c r="K60" s="37"/>
      <c r="L60" s="164"/>
      <c r="M60" s="165"/>
      <c r="N60" s="164"/>
      <c r="O60" s="165"/>
      <c r="P60" s="14"/>
    </row>
    <row r="61" spans="1:16" ht="15.75" x14ac:dyDescent="0.3">
      <c r="A61" s="14"/>
      <c r="B61" s="14"/>
      <c r="C61" s="14"/>
      <c r="D61" s="15"/>
      <c r="E61" s="16"/>
      <c r="F61" s="15"/>
      <c r="G61" s="16"/>
      <c r="H61" s="17"/>
      <c r="I61" s="38" t="s">
        <v>81</v>
      </c>
      <c r="J61" s="199"/>
      <c r="K61" s="39" t="str">
        <f>+K58</f>
        <v>costo de ventas</v>
      </c>
      <c r="L61" s="166">
        <f>+L58</f>
        <v>933548</v>
      </c>
      <c r="M61" s="167">
        <f>L61/L62</f>
        <v>140.82787750791974</v>
      </c>
      <c r="N61" s="166">
        <f>+N58</f>
        <v>1320072</v>
      </c>
      <c r="O61" s="167">
        <f>N61/N62</f>
        <v>929.62816901408451</v>
      </c>
      <c r="P61" s="14"/>
    </row>
    <row r="62" spans="1:16" ht="15.75" x14ac:dyDescent="0.3">
      <c r="A62" s="14"/>
      <c r="B62" s="14"/>
      <c r="C62" s="14"/>
      <c r="D62" s="15"/>
      <c r="E62" s="16"/>
      <c r="F62" s="15"/>
      <c r="G62" s="16"/>
      <c r="H62" s="17"/>
      <c r="I62" s="40" t="s">
        <v>85</v>
      </c>
      <c r="J62" s="199"/>
      <c r="K62" s="41" t="s">
        <v>86</v>
      </c>
      <c r="L62" s="171">
        <f>L57/365</f>
        <v>6629</v>
      </c>
      <c r="M62" s="168"/>
      <c r="N62" s="166">
        <f>N57/365</f>
        <v>1420</v>
      </c>
      <c r="O62" s="168"/>
      <c r="P62" s="14"/>
    </row>
    <row r="63" spans="1:16" ht="16.5" thickBot="1" x14ac:dyDescent="0.35">
      <c r="A63" s="14"/>
      <c r="B63" s="14"/>
      <c r="C63" s="14"/>
      <c r="D63" s="15"/>
      <c r="E63" s="16"/>
      <c r="F63" s="15"/>
      <c r="G63" s="16"/>
      <c r="H63" s="17"/>
      <c r="I63" s="42"/>
      <c r="J63" s="200"/>
      <c r="K63" s="43"/>
      <c r="L63" s="169"/>
      <c r="M63" s="170"/>
      <c r="N63" s="169"/>
      <c r="O63" s="170"/>
      <c r="P63" s="14"/>
    </row>
    <row r="64" spans="1:16" ht="15.75" x14ac:dyDescent="0.3">
      <c r="A64" s="14"/>
      <c r="B64" s="14"/>
      <c r="C64" s="14"/>
      <c r="D64" s="15"/>
      <c r="E64" s="16"/>
      <c r="F64" s="15"/>
      <c r="G64" s="16"/>
      <c r="H64" s="17"/>
      <c r="I64" s="14"/>
      <c r="J64" s="14"/>
      <c r="K64" s="14"/>
      <c r="L64" s="14"/>
      <c r="M64" s="14"/>
      <c r="N64" s="14"/>
      <c r="O64" s="14"/>
      <c r="P64" s="14"/>
    </row>
    <row r="65" spans="1:16" ht="15.75" x14ac:dyDescent="0.3">
      <c r="A65" s="14"/>
      <c r="B65" s="14"/>
      <c r="C65" s="14"/>
      <c r="D65" s="15"/>
      <c r="E65" s="16"/>
      <c r="F65" s="15"/>
      <c r="G65" s="16"/>
      <c r="H65" s="17"/>
      <c r="I65" s="14"/>
      <c r="J65" s="14"/>
      <c r="K65" s="14"/>
      <c r="L65" s="14"/>
      <c r="M65" s="14"/>
      <c r="N65" s="14"/>
      <c r="O65" s="14"/>
      <c r="P65" s="14"/>
    </row>
    <row r="66" spans="1:16" x14ac:dyDescent="0.25">
      <c r="L66">
        <v>3</v>
      </c>
    </row>
    <row r="67" spans="1:16" x14ac:dyDescent="0.25">
      <c r="L67" t="e">
        <f>L66/0</f>
        <v>#DIV/0!</v>
      </c>
    </row>
    <row r="71" spans="1:16" x14ac:dyDescent="0.25">
      <c r="O71">
        <v>4</v>
      </c>
    </row>
  </sheetData>
  <mergeCells count="36">
    <mergeCell ref="A30:G30"/>
    <mergeCell ref="I30:O30"/>
    <mergeCell ref="I31:J31"/>
    <mergeCell ref="A31:B31"/>
    <mergeCell ref="J60:J63"/>
    <mergeCell ref="B32:B35"/>
    <mergeCell ref="J32:J35"/>
    <mergeCell ref="B36:B39"/>
    <mergeCell ref="J36:J39"/>
    <mergeCell ref="B40:B43"/>
    <mergeCell ref="J40:J43"/>
    <mergeCell ref="B44:B47"/>
    <mergeCell ref="J44:J47"/>
    <mergeCell ref="J48:J51"/>
    <mergeCell ref="J52:J55"/>
    <mergeCell ref="J56:J59"/>
    <mergeCell ref="B16:B19"/>
    <mergeCell ref="J16:J19"/>
    <mergeCell ref="B20:B23"/>
    <mergeCell ref="J20:J23"/>
    <mergeCell ref="B24:B27"/>
    <mergeCell ref="J24:J27"/>
    <mergeCell ref="B12:B15"/>
    <mergeCell ref="J12:J15"/>
    <mergeCell ref="A2:G2"/>
    <mergeCell ref="I2:O2"/>
    <mergeCell ref="D3:E3"/>
    <mergeCell ref="F3:G3"/>
    <mergeCell ref="I3:J3"/>
    <mergeCell ref="K3:L3"/>
    <mergeCell ref="M3:N3"/>
    <mergeCell ref="B4:B7"/>
    <mergeCell ref="J4:J7"/>
    <mergeCell ref="B8:B11"/>
    <mergeCell ref="I8:I11"/>
    <mergeCell ref="J8:J11"/>
  </mergeCells>
  <pageMargins left="0.7" right="0.7" top="0.75" bottom="0.75" header="0.3" footer="0.3"/>
  <pageSetup paperSize="9" orientation="portrait" horizontalDpi="0" verticalDpi="0"/>
  <ignoredErrors>
    <ignoredError sqref="F17 E21 E13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C</vt:lpstr>
      <vt:lpstr>Hoja1</vt:lpstr>
      <vt:lpstr>Ratios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2020-11-23T16:16:00Z</dcterms:modified>
</cp:coreProperties>
</file>