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comments1.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ml.chartshapes+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harts/chart3.xml" ContentType="application/vnd.openxmlformats-officedocument.drawingml.chart+xml"/>
  <Override PartName="/xl/drawings/drawing10.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drawings/drawing17.xml" ContentType="application/vnd.openxmlformats-officedocument.drawing+xml"/>
  <Override PartName="/xl/comments3.xml" ContentType="application/vnd.openxmlformats-officedocument.spreadsheetml.comments+xml"/>
  <Override PartName="/xl/drawings/drawing18.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Q:\15_PRUEFPAPIERE\Fremdflugzeuge\M+D Flugzeugbau\JS-MD 3 RES\3.MD132\2025\"/>
    </mc:Choice>
  </mc:AlternateContent>
  <xr:revisionPtr revIDLastSave="0" documentId="8_{464232C6-4363-4593-934C-E82CA88A3483}" xr6:coauthVersionLast="47" xr6:coauthVersionMax="47" xr10:uidLastSave="{00000000-0000-0000-0000-000000000000}"/>
  <workbookProtection workbookAlgorithmName="SHA-512" workbookHashValue="9KxInbGHkD0vtE/QNbID8p4tTyQ/yD5/ui9uwolI6aDmWFSOwrrWJCUHH1idSxlKDLzfEryJ5Ka7d8enUL1rBw==" workbookSaltValue="EUdLvlyAI3BLAnoUkf3GdQ==" workbookSpinCount="100000" lockStructure="1"/>
  <bookViews>
    <workbookView xWindow="-28920" yWindow="-120" windowWidth="29040" windowHeight="15840" tabRatio="859" xr2:uid="{00000000-000D-0000-FFFF-FFFF00000000}"/>
  </bookViews>
  <sheets>
    <sheet name="Entry Form" sheetId="10" r:id="rId1"/>
    <sheet name="W&amp;B Report Imperial" sheetId="25" r:id="rId2"/>
    <sheet name="W&amp;B Report Metric" sheetId="11" r:id="rId3"/>
    <sheet name="JS3 15m CG Envelope" sheetId="9" r:id="rId4"/>
    <sheet name="JS3 18m CG Envelope" sheetId="12" r:id="rId5"/>
    <sheet name="Config" sheetId="8" state="hidden" r:id="rId6"/>
    <sheet name="Revision History" sheetId="14" state="hidden" r:id="rId7"/>
    <sheet name="Centre of Gravity Calc" sheetId="28" state="hidden" r:id="rId8"/>
    <sheet name="Centre of Gravity Manual Format" sheetId="29" state="hidden" r:id="rId9"/>
    <sheet name="Main Water Ballast" sheetId="32" state="hidden" r:id="rId10"/>
    <sheet name="Main Water Ballast_132l" sheetId="16" state="hidden" r:id="rId11"/>
    <sheet name="Exp tank loading chart" sheetId="33" state="hidden" r:id="rId12"/>
    <sheet name="Water ballast momentarm vs mass" sheetId="34" state="hidden" r:id="rId13"/>
    <sheet name="Main Water Ballast_156l" sheetId="31" state="hidden" r:id="rId14"/>
    <sheet name="Tail Water Ballast" sheetId="17" state="hidden" r:id="rId15"/>
    <sheet name="Non-expendable tail tank" sheetId="21" state="hidden" r:id="rId16"/>
    <sheet name="Nose Ballast" sheetId="19" state="hidden" r:id="rId17"/>
    <sheet name="Nose Ballast (2)" sheetId="27" state="hidden" r:id="rId18"/>
    <sheet name="Non-expendable tail tank (2)" sheetId="26" state="hidden" r:id="rId19"/>
    <sheet name="Sheet2" sheetId="23" state="hidden" r:id="rId20"/>
    <sheet name="Sheet1" sheetId="24" state="hidden" r:id="rId21"/>
    <sheet name="Sheet3" sheetId="30" state="hidden" r:id="rId22"/>
  </sheets>
  <externalReferences>
    <externalReference r:id="rId23"/>
    <externalReference r:id="rId24"/>
  </externalReferences>
  <definedNames>
    <definedName name="Aftlimit">'Non-expendable tail tank (2)'!$S$4</definedName>
    <definedName name="CG" localSheetId="7">#REF!</definedName>
    <definedName name="CG" localSheetId="8">#REF!</definedName>
    <definedName name="CG" localSheetId="9">#REF!</definedName>
    <definedName name="CG" localSheetId="13">#REF!</definedName>
    <definedName name="CG" localSheetId="17">#REF!</definedName>
    <definedName name="CG">#REF!</definedName>
    <definedName name="CG_NOB" localSheetId="7">#REF!</definedName>
    <definedName name="CG_NOB" localSheetId="8">#REF!</definedName>
    <definedName name="CG_NOB" localSheetId="13">#REF!</definedName>
    <definedName name="CG_NOB" localSheetId="17">#REF!</definedName>
    <definedName name="CG_NOB">#REF!</definedName>
    <definedName name="CG_TARGET" localSheetId="7">#REF!</definedName>
    <definedName name="CG_TARGET" localSheetId="8">#REF!</definedName>
    <definedName name="CG_TARGET" localSheetId="13">#REF!</definedName>
    <definedName name="CG_TARGET" localSheetId="17">#REF!</definedName>
    <definedName name="CG_TARGET">#REF!</definedName>
    <definedName name="_xlnm.Print_Area" localSheetId="0">'Entry Form'!$B$1:$BY$62</definedName>
    <definedName name="M_TOTAL" localSheetId="7">#REF!</definedName>
    <definedName name="M_TOTAL" localSheetId="8">#REF!</definedName>
    <definedName name="M_TOTAL" localSheetId="13">#REF!</definedName>
    <definedName name="M_TOTAL" localSheetId="17">#REF!</definedName>
    <definedName name="M_TOTAL">#REF!</definedName>
    <definedName name="M_TOTAL_LIMIT" localSheetId="7">#REF!</definedName>
    <definedName name="M_TOTAL_LIMIT" localSheetId="8">#REF!</definedName>
    <definedName name="M_TOTAL_LIMIT" localSheetId="13">#REF!</definedName>
    <definedName name="M_TOTAL_LIMIT" localSheetId="17">#REF!</definedName>
    <definedName name="M_TOTAL_LIMIT">#REF!</definedName>
    <definedName name="Massfuelbottom">'Non-expendable tail tank (2)'!$S$9</definedName>
    <definedName name="MfuelTop">'Non-expendable tail tank (2)'!$S$8</definedName>
    <definedName name="sigma_MB" localSheetId="7">#REF!</definedName>
    <definedName name="sigma_MB" localSheetId="8">#REF!</definedName>
    <definedName name="sigma_MB" localSheetId="9">#REF!</definedName>
    <definedName name="sigma_MB" localSheetId="13">#REF!</definedName>
    <definedName name="sigma_MB" localSheetId="17">#REF!</definedName>
    <definedName name="sigma_MB">#REF!</definedName>
    <definedName name="solver_adj" localSheetId="7" hidden="1">'Centre of Gravity Calc'!$F$4:$F$8</definedName>
    <definedName name="solver_adj" localSheetId="5" hidden="1">Config!$L$5</definedName>
    <definedName name="solver_adj" localSheetId="3" hidden="1">'JS3 15m CG Envelope'!$G$11</definedName>
    <definedName name="solver_adj" localSheetId="18" hidden="1">'Non-expendable tail tank (2)'!$L$3:$L$15</definedName>
    <definedName name="solver_adj" localSheetId="17" hidden="1">'Nose Ballast (2)'!$R$3:$R$15</definedName>
    <definedName name="solver_cvg" localSheetId="7" hidden="1">0.0001</definedName>
    <definedName name="solver_cvg" localSheetId="5" hidden="1">0.0001</definedName>
    <definedName name="solver_cvg" localSheetId="3" hidden="1">0.0001</definedName>
    <definedName name="solver_cvg" localSheetId="18" hidden="1">0.0001</definedName>
    <definedName name="solver_cvg" localSheetId="17" hidden="1">0.0001</definedName>
    <definedName name="solver_drv" localSheetId="7" hidden="1">2</definedName>
    <definedName name="solver_drv" localSheetId="5" hidden="1">1</definedName>
    <definedName name="solver_drv" localSheetId="3" hidden="1">1</definedName>
    <definedName name="solver_drv" localSheetId="18" hidden="1">1</definedName>
    <definedName name="solver_drv" localSheetId="17" hidden="1">1</definedName>
    <definedName name="solver_eng" localSheetId="7" hidden="1">1</definedName>
    <definedName name="solver_eng" localSheetId="5" hidden="1">1</definedName>
    <definedName name="solver_eng" localSheetId="3" hidden="1">1</definedName>
    <definedName name="solver_eng" localSheetId="15" hidden="1">1</definedName>
    <definedName name="solver_eng" localSheetId="18" hidden="1">1</definedName>
    <definedName name="solver_eng" localSheetId="17" hidden="1">1</definedName>
    <definedName name="solver_est" localSheetId="7" hidden="1">1</definedName>
    <definedName name="solver_est" localSheetId="5" hidden="1">1</definedName>
    <definedName name="solver_est" localSheetId="3" hidden="1">1</definedName>
    <definedName name="solver_est" localSheetId="18" hidden="1">1</definedName>
    <definedName name="solver_est" localSheetId="17" hidden="1">1</definedName>
    <definedName name="solver_itr" localSheetId="7" hidden="1">2147483647</definedName>
    <definedName name="solver_itr" localSheetId="5" hidden="1">2147483647</definedName>
    <definedName name="solver_itr" localSheetId="3" hidden="1">2147483647</definedName>
    <definedName name="solver_itr" localSheetId="18" hidden="1">2147483647</definedName>
    <definedName name="solver_itr" localSheetId="17" hidden="1">2147483647</definedName>
    <definedName name="solver_mip" localSheetId="7" hidden="1">2147483647</definedName>
    <definedName name="solver_mip" localSheetId="5" hidden="1">2147483647</definedName>
    <definedName name="solver_mip" localSheetId="3" hidden="1">2147483647</definedName>
    <definedName name="solver_mip" localSheetId="18" hidden="1">2147483647</definedName>
    <definedName name="solver_mip" localSheetId="17" hidden="1">2147483647</definedName>
    <definedName name="solver_mni" localSheetId="7" hidden="1">30</definedName>
    <definedName name="solver_mni" localSheetId="5" hidden="1">30</definedName>
    <definedName name="solver_mni" localSheetId="3" hidden="1">30</definedName>
    <definedName name="solver_mni" localSheetId="18" hidden="1">30</definedName>
    <definedName name="solver_mni" localSheetId="17" hidden="1">30</definedName>
    <definedName name="solver_mrt" localSheetId="7" hidden="1">0.075</definedName>
    <definedName name="solver_mrt" localSheetId="5" hidden="1">0.075</definedName>
    <definedName name="solver_mrt" localSheetId="3" hidden="1">0.075</definedName>
    <definedName name="solver_mrt" localSheetId="18" hidden="1">0.075</definedName>
    <definedName name="solver_mrt" localSheetId="17" hidden="1">0.075</definedName>
    <definedName name="solver_msl" localSheetId="7" hidden="1">2</definedName>
    <definedName name="solver_msl" localSheetId="5" hidden="1">2</definedName>
    <definedName name="solver_msl" localSheetId="3" hidden="1">2</definedName>
    <definedName name="solver_msl" localSheetId="18" hidden="1">2</definedName>
    <definedName name="solver_msl" localSheetId="17" hidden="1">2</definedName>
    <definedName name="solver_neg" localSheetId="7" hidden="1">1</definedName>
    <definedName name="solver_neg" localSheetId="5" hidden="1">1</definedName>
    <definedName name="solver_neg" localSheetId="3" hidden="1">1</definedName>
    <definedName name="solver_neg" localSheetId="15" hidden="1">1</definedName>
    <definedName name="solver_neg" localSheetId="18" hidden="1">1</definedName>
    <definedName name="solver_neg" localSheetId="17" hidden="1">1</definedName>
    <definedName name="solver_nod" localSheetId="7" hidden="1">2147483647</definedName>
    <definedName name="solver_nod" localSheetId="5" hidden="1">2147483647</definedName>
    <definedName name="solver_nod" localSheetId="3" hidden="1">2147483647</definedName>
    <definedName name="solver_nod" localSheetId="18" hidden="1">2147483647</definedName>
    <definedName name="solver_nod" localSheetId="17" hidden="1">2147483647</definedName>
    <definedName name="solver_num" localSheetId="7" hidden="1">0</definedName>
    <definedName name="solver_num" localSheetId="5" hidden="1">0</definedName>
    <definedName name="solver_num" localSheetId="3" hidden="1">0</definedName>
    <definedName name="solver_num" localSheetId="15" hidden="1">0</definedName>
    <definedName name="solver_num" localSheetId="18" hidden="1">0</definedName>
    <definedName name="solver_num" localSheetId="17" hidden="1">0</definedName>
    <definedName name="solver_nwt" localSheetId="7" hidden="1">1</definedName>
    <definedName name="solver_nwt" localSheetId="5" hidden="1">1</definedName>
    <definedName name="solver_nwt" localSheetId="3" hidden="1">1</definedName>
    <definedName name="solver_nwt" localSheetId="18" hidden="1">1</definedName>
    <definedName name="solver_nwt" localSheetId="17" hidden="1">1</definedName>
    <definedName name="solver_opt" localSheetId="7" hidden="1">'Centre of Gravity Calc'!$E$10</definedName>
    <definedName name="solver_opt" localSheetId="5" hidden="1">Config!#REF!</definedName>
    <definedName name="solver_opt" localSheetId="3" hidden="1">'JS3 15m CG Envelope'!$H$24</definedName>
    <definedName name="solver_opt" localSheetId="15" hidden="1">'Non-expendable tail tank'!$J$3</definedName>
    <definedName name="solver_opt" localSheetId="18" hidden="1">'Non-expendable tail tank (2)'!$P$16</definedName>
    <definedName name="solver_opt" localSheetId="17" hidden="1">'Nose Ballast (2)'!$V$16</definedName>
    <definedName name="solver_pre" localSheetId="7" hidden="1">0.000001</definedName>
    <definedName name="solver_pre" localSheetId="5" hidden="1">0.000001</definedName>
    <definedName name="solver_pre" localSheetId="3" hidden="1">0.000001</definedName>
    <definedName name="solver_pre" localSheetId="18" hidden="1">0.000001</definedName>
    <definedName name="solver_pre" localSheetId="17" hidden="1">0.000001</definedName>
    <definedName name="solver_rbv" localSheetId="7" hidden="1">2</definedName>
    <definedName name="solver_rbv" localSheetId="5" hidden="1">1</definedName>
    <definedName name="solver_rbv" localSheetId="3" hidden="1">1</definedName>
    <definedName name="solver_rbv" localSheetId="18" hidden="1">1</definedName>
    <definedName name="solver_rbv" localSheetId="17" hidden="1">1</definedName>
    <definedName name="solver_rlx" localSheetId="7" hidden="1">2</definedName>
    <definedName name="solver_rlx" localSheetId="5" hidden="1">2</definedName>
    <definedName name="solver_rlx" localSheetId="3" hidden="1">2</definedName>
    <definedName name="solver_rlx" localSheetId="18" hidden="1">2</definedName>
    <definedName name="solver_rlx" localSheetId="17" hidden="1">2</definedName>
    <definedName name="solver_rsd" localSheetId="7" hidden="1">0</definedName>
    <definedName name="solver_rsd" localSheetId="5" hidden="1">0</definedName>
    <definedName name="solver_rsd" localSheetId="3" hidden="1">0</definedName>
    <definedName name="solver_rsd" localSheetId="18" hidden="1">0</definedName>
    <definedName name="solver_rsd" localSheetId="17" hidden="1">0</definedName>
    <definedName name="solver_scl" localSheetId="7" hidden="1">2</definedName>
    <definedName name="solver_scl" localSheetId="5" hidden="1">1</definedName>
    <definedName name="solver_scl" localSheetId="3" hidden="1">1</definedName>
    <definedName name="solver_scl" localSheetId="18" hidden="1">1</definedName>
    <definedName name="solver_scl" localSheetId="17" hidden="1">1</definedName>
    <definedName name="solver_sho" localSheetId="7" hidden="1">2</definedName>
    <definedName name="solver_sho" localSheetId="5" hidden="1">2</definedName>
    <definedName name="solver_sho" localSheetId="3" hidden="1">2</definedName>
    <definedName name="solver_sho" localSheetId="18" hidden="1">2</definedName>
    <definedName name="solver_sho" localSheetId="17" hidden="1">2</definedName>
    <definedName name="solver_ssz" localSheetId="7" hidden="1">100</definedName>
    <definedName name="solver_ssz" localSheetId="5" hidden="1">100</definedName>
    <definedName name="solver_ssz" localSheetId="3" hidden="1">100</definedName>
    <definedName name="solver_ssz" localSheetId="18" hidden="1">100</definedName>
    <definedName name="solver_ssz" localSheetId="17" hidden="1">100</definedName>
    <definedName name="solver_tim" localSheetId="7" hidden="1">2147483647</definedName>
    <definedName name="solver_tim" localSheetId="5" hidden="1">2147483647</definedName>
    <definedName name="solver_tim" localSheetId="3" hidden="1">2147483647</definedName>
    <definedName name="solver_tim" localSheetId="18" hidden="1">2147483647</definedName>
    <definedName name="solver_tim" localSheetId="17" hidden="1">2147483647</definedName>
    <definedName name="solver_tol" localSheetId="7" hidden="1">0.01</definedName>
    <definedName name="solver_tol" localSheetId="5" hidden="1">0.01</definedName>
    <definedName name="solver_tol" localSheetId="3" hidden="1">0.01</definedName>
    <definedName name="solver_tol" localSheetId="18" hidden="1">0.01</definedName>
    <definedName name="solver_tol" localSheetId="17" hidden="1">0.01</definedName>
    <definedName name="solver_typ" localSheetId="7" hidden="1">3</definedName>
    <definedName name="solver_typ" localSheetId="5" hidden="1">3</definedName>
    <definedName name="solver_typ" localSheetId="3" hidden="1">3</definedName>
    <definedName name="solver_typ" localSheetId="15" hidden="1">1</definedName>
    <definedName name="solver_typ" localSheetId="18" hidden="1">2</definedName>
    <definedName name="solver_typ" localSheetId="17" hidden="1">3</definedName>
    <definedName name="solver_val" localSheetId="7" hidden="1">0</definedName>
    <definedName name="solver_val" localSheetId="5" hidden="1">111.875</definedName>
    <definedName name="solver_val" localSheetId="3" hidden="1">525</definedName>
    <definedName name="solver_val" localSheetId="15" hidden="1">0</definedName>
    <definedName name="solver_val" localSheetId="18" hidden="1">50</definedName>
    <definedName name="solver_val" localSheetId="17" hidden="1">0</definedName>
    <definedName name="solver_ver" localSheetId="7" hidden="1">3</definedName>
    <definedName name="solver_ver" localSheetId="5" hidden="1">3</definedName>
    <definedName name="solver_ver" localSheetId="3" hidden="1">3</definedName>
    <definedName name="solver_ver" localSheetId="15" hidden="1">3</definedName>
    <definedName name="solver_ver" localSheetId="18" hidden="1">3</definedName>
    <definedName name="solver_ver" localSheetId="17" hidden="1">3</definedName>
    <definedName name="SpanID" localSheetId="9">[1]Config!$B$38</definedName>
    <definedName name="SpanID" localSheetId="13">[2]Config!$B$36</definedName>
    <definedName name="SpanID">Config!$B$38</definedName>
    <definedName name="TAIL_D" localSheetId="7">#REF!</definedName>
    <definedName name="TAIL_D" localSheetId="8">#REF!</definedName>
    <definedName name="TAIL_D" localSheetId="9">#REF!</definedName>
    <definedName name="TAIL_D" localSheetId="13">#REF!</definedName>
    <definedName name="TAIL_D" localSheetId="17">#REF!</definedName>
    <definedName name="TAIL_D">#REF!</definedName>
    <definedName name="TAIL_D_LIMIT" localSheetId="7">#REF!</definedName>
    <definedName name="TAIL_D_LIMIT" localSheetId="8">#REF!</definedName>
    <definedName name="TAIL_D_LIMIT" localSheetId="13">#REF!</definedName>
    <definedName name="TAIL_D_LIMIT" localSheetId="17">#REF!</definedName>
    <definedName name="TAIL_D_LIMIT">#REF!</definedName>
    <definedName name="TAIL_NOD" localSheetId="7">#REF!</definedName>
    <definedName name="TAIL_NOD" localSheetId="8">#REF!</definedName>
    <definedName name="TAIL_NOD" localSheetId="13">#REF!</definedName>
    <definedName name="TAIL_NOD" localSheetId="17">#REF!</definedName>
    <definedName name="TAIL_NOD">#REF!</definedName>
    <definedName name="TAIL_NOD_LIMIT" localSheetId="7">#REF!</definedName>
    <definedName name="TAIL_NOD_LIMIT" localSheetId="8">#REF!</definedName>
    <definedName name="TAIL_NOD_LIMIT" localSheetId="13">#REF!</definedName>
    <definedName name="TAIL_NOD_LIMIT" localSheetId="17">#REF!</definedName>
    <definedName name="TAIL_NOD_LIMIT">#REF!</definedName>
    <definedName name="TAIL_TOT" localSheetId="7">#REF!</definedName>
    <definedName name="TAIL_TOT" localSheetId="8">#REF!</definedName>
    <definedName name="TAIL_TOT" localSheetId="13">#REF!</definedName>
    <definedName name="TAIL_TOT" localSheetId="17">#REF!</definedName>
    <definedName name="TAIL_TOT">#REF!</definedName>
    <definedName name="WING_AREA" localSheetId="7">#REF!</definedName>
    <definedName name="WING_AREA" localSheetId="8">#REF!</definedName>
    <definedName name="WING_AREA" localSheetId="13">#REF!</definedName>
    <definedName name="WING_AREA" localSheetId="17">#REF!</definedName>
    <definedName name="WING_AREA">#REF!</definedName>
    <definedName name="WING_B" localSheetId="7">#REF!</definedName>
    <definedName name="WING_B" localSheetId="8">#REF!</definedName>
    <definedName name="WING_B" localSheetId="13">#REF!</definedName>
    <definedName name="WING_B" localSheetId="17">#REF!</definedName>
    <definedName name="WING_B">#REF!</definedName>
    <definedName name="WING_CAP" localSheetId="7">#REF!</definedName>
    <definedName name="WING_CAP" localSheetId="8">#REF!</definedName>
    <definedName name="WING_CAP" localSheetId="13">#REF!</definedName>
    <definedName name="WING_CAP" localSheetId="17">#REF!</definedName>
    <definedName name="WING_CAP">#REF!</definedName>
    <definedName name="WLOAD" localSheetId="7">#REF!</definedName>
    <definedName name="WLOAD" localSheetId="8">#REF!</definedName>
    <definedName name="WLOAD" localSheetId="13">#REF!</definedName>
    <definedName name="WLOAD" localSheetId="17">#REF!</definedName>
    <definedName name="WLOAD">#REF!</definedName>
    <definedName name="WLOAD_TARGET" localSheetId="7">#REF!</definedName>
    <definedName name="WLOAD_TARGET" localSheetId="8">#REF!</definedName>
    <definedName name="WLOAD_TARGET" localSheetId="13">#REF!</definedName>
    <definedName name="WLOAD_TARGET" localSheetId="17">#REF!</definedName>
    <definedName name="WLOAD_TARGET" localSheetId="1">#REF!</definedName>
    <definedName name="WLOAD_TARGET">#REF!</definedName>
    <definedName name="Xfuelbottom">'Non-expendable tail tank (2)'!$S$7</definedName>
    <definedName name="Xfueltop">'Non-expendable tail tank (2)'!$S$6</definedName>
    <definedName name="XPilot">'Non-expendable tail tank (2)'!$S$5</definedName>
    <definedName name="XTT">'Non-expendable tail tank (2)'!$S$10</definedName>
  </definedNames>
  <calcPr calcId="191029"/>
  <customWorkbookViews>
    <customWorkbookView name="Bla1" guid="{373083F1-CFE7-4444-9ECB-BC4A0539F75A}" maximized="1" windowWidth="1650" windowHeight="907"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10" l="1"/>
  <c r="O3" i="26"/>
  <c r="C3" i="26"/>
  <c r="O4" i="26"/>
  <c r="O5" i="26"/>
  <c r="O6" i="26"/>
  <c r="O7" i="26"/>
  <c r="O8" i="26"/>
  <c r="O9" i="26"/>
  <c r="O10" i="26"/>
  <c r="O11" i="26"/>
  <c r="O12" i="26"/>
  <c r="O13" i="26"/>
  <c r="O14" i="26"/>
  <c r="O15" i="26"/>
  <c r="C3" i="21"/>
  <c r="D3" i="21"/>
  <c r="F15" i="8" l="1"/>
  <c r="C16" i="25" l="1"/>
  <c r="I2" i="10" l="1"/>
  <c r="E50" i="32" l="1"/>
  <c r="E51" i="32"/>
  <c r="E52" i="32"/>
  <c r="G5" i="12" l="1"/>
  <c r="D5" i="12"/>
  <c r="B5" i="12"/>
  <c r="B5" i="9"/>
  <c r="G5" i="9"/>
  <c r="D5" i="9"/>
  <c r="C9" i="9"/>
  <c r="D10" i="9"/>
  <c r="C12" i="9"/>
  <c r="C13" i="9"/>
  <c r="C14" i="9"/>
  <c r="C15" i="9"/>
  <c r="C16" i="9"/>
  <c r="C17" i="9"/>
  <c r="C18" i="9"/>
  <c r="C19" i="9"/>
  <c r="C20" i="9"/>
  <c r="C21" i="9"/>
  <c r="C22" i="9"/>
  <c r="C23" i="9"/>
  <c r="K6" i="11" l="1"/>
  <c r="A6" i="11"/>
  <c r="E45" i="25" l="1"/>
  <c r="L30" i="25" l="1"/>
  <c r="L27" i="25"/>
  <c r="F21" i="12" l="1"/>
  <c r="F23" i="12"/>
  <c r="B18" i="9"/>
  <c r="E18" i="9"/>
  <c r="F26" i="9"/>
  <c r="G26" i="12"/>
  <c r="F26" i="12"/>
  <c r="I14" i="12" l="1"/>
  <c r="I15" i="12"/>
  <c r="I23" i="12"/>
  <c r="N3" i="11"/>
  <c r="N3" i="25"/>
  <c r="M26" i="25" l="1"/>
  <c r="N6" i="11" l="1"/>
  <c r="L6" i="11"/>
  <c r="F6" i="11"/>
  <c r="E6" i="11"/>
  <c r="L6" i="25"/>
  <c r="N6" i="25"/>
  <c r="F6" i="25"/>
  <c r="A6" i="25"/>
  <c r="B73" i="32" l="1"/>
  <c r="B72" i="32"/>
  <c r="B71" i="32"/>
  <c r="B70" i="32"/>
  <c r="B69" i="32"/>
  <c r="B68" i="32"/>
  <c r="B67" i="32"/>
  <c r="B66" i="32"/>
  <c r="B65" i="32"/>
  <c r="B64" i="32"/>
  <c r="B63" i="32"/>
  <c r="B62" i="32"/>
  <c r="B61" i="32"/>
  <c r="B60" i="32"/>
  <c r="B59" i="32"/>
  <c r="B58" i="32"/>
  <c r="B57" i="32"/>
  <c r="B56" i="32"/>
  <c r="E72" i="32"/>
  <c r="D52" i="32"/>
  <c r="E71" i="32"/>
  <c r="D51" i="32"/>
  <c r="E70" i="32"/>
  <c r="D50" i="32"/>
  <c r="D49" i="32"/>
  <c r="C49" i="32"/>
  <c r="E49" i="32" s="1"/>
  <c r="D48" i="32"/>
  <c r="C48" i="32"/>
  <c r="D47" i="32"/>
  <c r="C47" i="32"/>
  <c r="E47" i="32" s="1"/>
  <c r="D46" i="32"/>
  <c r="C46" i="32"/>
  <c r="E46" i="32" s="1"/>
  <c r="D45" i="32"/>
  <c r="C45" i="32"/>
  <c r="E45" i="32" s="1"/>
  <c r="D44" i="32"/>
  <c r="C44" i="32"/>
  <c r="E44" i="32" s="1"/>
  <c r="D43" i="32"/>
  <c r="C43" i="32"/>
  <c r="E43" i="32" s="1"/>
  <c r="D42" i="32"/>
  <c r="C42" i="32"/>
  <c r="E42" i="32" s="1"/>
  <c r="D41" i="32"/>
  <c r="C41" i="32"/>
  <c r="E41" i="32" s="1"/>
  <c r="D40" i="32"/>
  <c r="C40" i="32"/>
  <c r="E40" i="32" s="1"/>
  <c r="D39" i="32"/>
  <c r="C39" i="32"/>
  <c r="D38" i="32"/>
  <c r="C38" i="32"/>
  <c r="E38" i="32" s="1"/>
  <c r="D37" i="32"/>
  <c r="C37" i="32"/>
  <c r="E37" i="32" s="1"/>
  <c r="D36" i="32"/>
  <c r="C36" i="32"/>
  <c r="E36" i="32" s="1"/>
  <c r="F39" i="32" l="1"/>
  <c r="F59" i="32" s="1"/>
  <c r="F49" i="32"/>
  <c r="F69" i="32" s="1"/>
  <c r="F50" i="32"/>
  <c r="F70" i="32" s="1"/>
  <c r="F43" i="32"/>
  <c r="F63" i="32" s="1"/>
  <c r="F38" i="32"/>
  <c r="F58" i="32" s="1"/>
  <c r="E39" i="32"/>
  <c r="E59" i="32" s="1"/>
  <c r="F46" i="32"/>
  <c r="F66" i="32" s="1"/>
  <c r="F47" i="32"/>
  <c r="F67" i="32" s="1"/>
  <c r="F44" i="32"/>
  <c r="F64" i="32" s="1"/>
  <c r="F40" i="32"/>
  <c r="F60" i="32" s="1"/>
  <c r="F41" i="32"/>
  <c r="F61" i="32" s="1"/>
  <c r="F42" i="32"/>
  <c r="F62" i="32" s="1"/>
  <c r="F51" i="32"/>
  <c r="F71" i="32" s="1"/>
  <c r="F52" i="32"/>
  <c r="F72" i="32" s="1"/>
  <c r="F36" i="32"/>
  <c r="F56" i="32" s="1"/>
  <c r="F37" i="32"/>
  <c r="F57" i="32" s="1"/>
  <c r="F45" i="32"/>
  <c r="F65" i="32" s="1"/>
  <c r="E48" i="32"/>
  <c r="F48" i="32"/>
  <c r="F68" i="32" s="1"/>
  <c r="E69" i="32"/>
  <c r="E67" i="32"/>
  <c r="E61" i="32"/>
  <c r="E63" i="32"/>
  <c r="H45" i="32"/>
  <c r="H37" i="32"/>
  <c r="E66" i="32"/>
  <c r="H46" i="32"/>
  <c r="H42" i="32"/>
  <c r="E62" i="32"/>
  <c r="E58" i="32"/>
  <c r="H38" i="32"/>
  <c r="E56" i="32"/>
  <c r="H39" i="32" l="1"/>
  <c r="H47" i="32"/>
  <c r="H41" i="32"/>
  <c r="E57" i="32"/>
  <c r="H43" i="32"/>
  <c r="E65" i="32"/>
  <c r="H48" i="32"/>
  <c r="E68" i="32"/>
  <c r="E64" i="32"/>
  <c r="H44" i="32"/>
  <c r="H40" i="32"/>
  <c r="E60" i="32"/>
  <c r="F14" i="9"/>
  <c r="I14" i="9" s="1"/>
  <c r="F15" i="9"/>
  <c r="I15" i="9" s="1"/>
  <c r="F16" i="9"/>
  <c r="F17" i="9"/>
  <c r="E19" i="9"/>
  <c r="F15" i="12"/>
  <c r="J15" i="12" s="1"/>
  <c r="G15" i="12"/>
  <c r="E15" i="12"/>
  <c r="C15" i="12"/>
  <c r="B15" i="12"/>
  <c r="H14" i="9"/>
  <c r="E14" i="9"/>
  <c r="B14" i="9"/>
  <c r="E11" i="12" l="1"/>
  <c r="F11" i="12" s="1"/>
  <c r="D33" i="31"/>
  <c r="D32" i="31"/>
  <c r="D31" i="31"/>
  <c r="D30" i="31"/>
  <c r="D29" i="31"/>
  <c r="D28" i="31"/>
  <c r="D27" i="31"/>
  <c r="D26" i="31"/>
  <c r="D25" i="31"/>
  <c r="D24" i="31"/>
  <c r="D23" i="31"/>
  <c r="D22" i="31"/>
  <c r="D21" i="31"/>
  <c r="D20" i="31"/>
  <c r="D19" i="31"/>
  <c r="D18" i="31"/>
  <c r="D17" i="31"/>
  <c r="D16" i="31"/>
  <c r="D15" i="31"/>
  <c r="D14" i="31"/>
  <c r="D13" i="31"/>
  <c r="D12" i="31"/>
  <c r="D11" i="31"/>
  <c r="D10" i="31"/>
  <c r="D9" i="31"/>
  <c r="D8" i="31"/>
  <c r="D7" i="31"/>
  <c r="D6" i="31"/>
  <c r="D5" i="31"/>
  <c r="D4" i="31"/>
  <c r="F3" i="31"/>
  <c r="D3" i="31"/>
  <c r="F2" i="31"/>
  <c r="E11" i="9"/>
  <c r="F11" i="9" s="1"/>
  <c r="B11" i="9"/>
  <c r="C15" i="29" l="1"/>
  <c r="E15" i="29"/>
  <c r="E13" i="29"/>
  <c r="E11" i="29"/>
  <c r="E9" i="29"/>
  <c r="E7" i="29"/>
  <c r="A4" i="28"/>
  <c r="C13" i="29"/>
  <c r="C11" i="29"/>
  <c r="C9" i="29"/>
  <c r="C7" i="29"/>
  <c r="L8" i="28"/>
  <c r="I8" i="8" l="1"/>
  <c r="C8" i="29"/>
  <c r="E16" i="29"/>
  <c r="C16" i="29"/>
  <c r="B15" i="29"/>
  <c r="E14" i="29"/>
  <c r="C14" i="29"/>
  <c r="B13" i="29"/>
  <c r="E12" i="29"/>
  <c r="C12" i="29"/>
  <c r="B11" i="29"/>
  <c r="E10" i="29"/>
  <c r="C10" i="29"/>
  <c r="B9" i="29"/>
  <c r="E8" i="29"/>
  <c r="B7" i="29"/>
  <c r="L9" i="28"/>
  <c r="B14" i="27" l="1"/>
  <c r="B13" i="27" s="1"/>
  <c r="B12" i="27" s="1"/>
  <c r="B11" i="27" s="1"/>
  <c r="B10" i="27" s="1"/>
  <c r="B9" i="27" s="1"/>
  <c r="B8" i="27" s="1"/>
  <c r="B7" i="27" s="1"/>
  <c r="B6" i="27" s="1"/>
  <c r="B5" i="27" s="1"/>
  <c r="B4" i="27" s="1"/>
  <c r="B3" i="27" s="1"/>
  <c r="Y6" i="27" l="1"/>
  <c r="Y5" i="27"/>
  <c r="Y4" i="27"/>
  <c r="Y8" i="27"/>
  <c r="Y7" i="27"/>
  <c r="Y9" i="27" l="1"/>
  <c r="Y10" i="27"/>
  <c r="H4" i="28"/>
  <c r="G7" i="29" s="1"/>
  <c r="G8" i="29" s="1"/>
  <c r="I4" i="28"/>
  <c r="I7" i="29" s="1"/>
  <c r="I8" i="29" s="1"/>
  <c r="C4" i="28"/>
  <c r="B4" i="28"/>
  <c r="D4" i="28" s="1"/>
  <c r="A5" i="28"/>
  <c r="S3" i="27"/>
  <c r="T3" i="27" s="1"/>
  <c r="S15" i="27"/>
  <c r="T15" i="27" s="1"/>
  <c r="S14" i="27"/>
  <c r="T14" i="27" s="1"/>
  <c r="S13" i="27"/>
  <c r="T13" i="27" s="1"/>
  <c r="S12" i="27"/>
  <c r="T12" i="27" s="1"/>
  <c r="S11" i="27"/>
  <c r="T11" i="27" s="1"/>
  <c r="S10" i="27"/>
  <c r="T10" i="27" s="1"/>
  <c r="S9" i="27"/>
  <c r="T9" i="27" s="1"/>
  <c r="S8" i="27"/>
  <c r="T8" i="27" s="1"/>
  <c r="S7" i="27"/>
  <c r="T7" i="27" s="1"/>
  <c r="S6" i="27"/>
  <c r="T6" i="27" s="1"/>
  <c r="S5" i="27"/>
  <c r="T5" i="27" s="1"/>
  <c r="S4" i="27"/>
  <c r="T4" i="27" s="1"/>
  <c r="E4" i="28" l="1"/>
  <c r="H5" i="28"/>
  <c r="G9" i="29" s="1"/>
  <c r="G10" i="29" s="1"/>
  <c r="I5" i="28"/>
  <c r="I9" i="29" s="1"/>
  <c r="I10" i="29" s="1"/>
  <c r="C5" i="28"/>
  <c r="B5" i="28"/>
  <c r="D5" i="28" s="1"/>
  <c r="A6" i="28"/>
  <c r="N6" i="27"/>
  <c r="N14" i="27"/>
  <c r="N7" i="27"/>
  <c r="N10" i="27"/>
  <c r="N11" i="27"/>
  <c r="N15" i="27"/>
  <c r="N8" i="27"/>
  <c r="N12" i="27"/>
  <c r="M18" i="27"/>
  <c r="N5" i="27"/>
  <c r="N9" i="27"/>
  <c r="N13" i="27"/>
  <c r="N4" i="27"/>
  <c r="N3" i="27"/>
  <c r="D25" i="8"/>
  <c r="E5" i="28" l="1"/>
  <c r="I6" i="28"/>
  <c r="I11" i="29" s="1"/>
  <c r="I12" i="29" s="1"/>
  <c r="H6" i="28"/>
  <c r="G11" i="29" s="1"/>
  <c r="G12" i="29" s="1"/>
  <c r="C6" i="28"/>
  <c r="A7" i="28"/>
  <c r="B6" i="28"/>
  <c r="D6" i="28" s="1"/>
  <c r="E6" i="25"/>
  <c r="K6" i="25"/>
  <c r="C17" i="25"/>
  <c r="C18" i="25"/>
  <c r="C19" i="25"/>
  <c r="B26" i="25"/>
  <c r="E26" i="25"/>
  <c r="L26" i="25"/>
  <c r="B27" i="25"/>
  <c r="E27" i="25"/>
  <c r="B28" i="25"/>
  <c r="E28" i="25"/>
  <c r="M28" i="25"/>
  <c r="B29" i="25"/>
  <c r="E29" i="25"/>
  <c r="L29" i="25"/>
  <c r="M29" i="25"/>
  <c r="B30" i="25"/>
  <c r="E30" i="25"/>
  <c r="B31" i="25"/>
  <c r="E31" i="25"/>
  <c r="M31" i="25"/>
  <c r="B32" i="25"/>
  <c r="E32" i="25"/>
  <c r="L32" i="25"/>
  <c r="N32" i="25" s="1"/>
  <c r="M32" i="25"/>
  <c r="B33" i="25"/>
  <c r="E33" i="25"/>
  <c r="B34" i="25"/>
  <c r="E34" i="25"/>
  <c r="B35" i="25"/>
  <c r="E35" i="25"/>
  <c r="B36" i="25"/>
  <c r="E36" i="25"/>
  <c r="B37" i="25"/>
  <c r="E37" i="25"/>
  <c r="E47" i="25"/>
  <c r="E56" i="25"/>
  <c r="E58" i="25"/>
  <c r="I9" i="12"/>
  <c r="C57" i="8"/>
  <c r="F55" i="8" s="1"/>
  <c r="H61" i="8"/>
  <c r="C63" i="8" s="1"/>
  <c r="H60" i="8"/>
  <c r="C62" i="8" s="1"/>
  <c r="H59" i="8"/>
  <c r="C61" i="8" s="1"/>
  <c r="H58" i="8"/>
  <c r="C60" i="8" s="1"/>
  <c r="F43" i="8"/>
  <c r="C46" i="8"/>
  <c r="G44" i="8" s="1"/>
  <c r="C47" i="8"/>
  <c r="F45" i="8" s="1"/>
  <c r="C48" i="8"/>
  <c r="F46" i="8" s="1"/>
  <c r="C49" i="8"/>
  <c r="F47" i="8" s="1"/>
  <c r="C50" i="8"/>
  <c r="G48" i="8" s="1"/>
  <c r="C51" i="8"/>
  <c r="G49" i="8" s="1"/>
  <c r="C52" i="8"/>
  <c r="G50" i="8" s="1"/>
  <c r="C53" i="8"/>
  <c r="F51" i="8" s="1"/>
  <c r="C54" i="8"/>
  <c r="F52" i="8" s="1"/>
  <c r="C55" i="8"/>
  <c r="G53" i="8" s="1"/>
  <c r="C56" i="8"/>
  <c r="F54" i="8" s="1"/>
  <c r="C58" i="8"/>
  <c r="F56" i="8" s="1"/>
  <c r="C59" i="8"/>
  <c r="F57" i="8" s="1"/>
  <c r="F42" i="8"/>
  <c r="E22" i="12"/>
  <c r="E23" i="12"/>
  <c r="M15" i="26"/>
  <c r="N15" i="26" s="1"/>
  <c r="M14" i="26"/>
  <c r="N14" i="26" s="1"/>
  <c r="M13" i="26"/>
  <c r="N13" i="26" s="1"/>
  <c r="M12" i="26"/>
  <c r="N12" i="26" s="1"/>
  <c r="M11" i="26"/>
  <c r="N11" i="26" s="1"/>
  <c r="M10" i="26"/>
  <c r="N10" i="26" s="1"/>
  <c r="M9" i="26"/>
  <c r="N9" i="26" s="1"/>
  <c r="M8" i="26"/>
  <c r="N8" i="26" s="1"/>
  <c r="M7" i="26"/>
  <c r="N7" i="26" s="1"/>
  <c r="M6" i="26"/>
  <c r="N6" i="26" s="1"/>
  <c r="C8" i="26"/>
  <c r="M5" i="26"/>
  <c r="N5" i="26" s="1"/>
  <c r="M4" i="26"/>
  <c r="N4" i="26" s="1"/>
  <c r="M3" i="26"/>
  <c r="C19" i="11"/>
  <c r="C18" i="11"/>
  <c r="C17" i="11"/>
  <c r="C15" i="25" s="1"/>
  <c r="Y3" i="27"/>
  <c r="B37" i="11"/>
  <c r="E27" i="11"/>
  <c r="E28" i="11"/>
  <c r="E29" i="11"/>
  <c r="E30" i="11"/>
  <c r="E31" i="11"/>
  <c r="E32" i="11"/>
  <c r="E33" i="11"/>
  <c r="E34" i="11"/>
  <c r="E35" i="11"/>
  <c r="E36" i="11"/>
  <c r="E37" i="11"/>
  <c r="B27" i="11"/>
  <c r="B28" i="11"/>
  <c r="B29" i="11"/>
  <c r="B30" i="11"/>
  <c r="B31" i="11"/>
  <c r="B32" i="11"/>
  <c r="B33" i="11"/>
  <c r="B34" i="11"/>
  <c r="B35" i="11"/>
  <c r="B36" i="11"/>
  <c r="E26" i="11"/>
  <c r="B26" i="11"/>
  <c r="M32" i="11"/>
  <c r="M29" i="11"/>
  <c r="M26" i="11"/>
  <c r="J23" i="8"/>
  <c r="K23" i="8" s="1"/>
  <c r="L23" i="8" s="1"/>
  <c r="E45" i="16"/>
  <c r="D45" i="16"/>
  <c r="F45" i="16" s="1"/>
  <c r="D48" i="16"/>
  <c r="F48" i="16" s="1"/>
  <c r="C37" i="16"/>
  <c r="D37" i="16" s="1"/>
  <c r="F37" i="16" s="1"/>
  <c r="C38" i="16"/>
  <c r="E38" i="16" s="1"/>
  <c r="C39" i="16"/>
  <c r="E39" i="16" s="1"/>
  <c r="C40" i="16"/>
  <c r="D40" i="16" s="1"/>
  <c r="F40" i="16" s="1"/>
  <c r="C41" i="16"/>
  <c r="D41" i="16" s="1"/>
  <c r="F41" i="16" s="1"/>
  <c r="C42" i="16"/>
  <c r="D42" i="16" s="1"/>
  <c r="F42" i="16" s="1"/>
  <c r="C43" i="16"/>
  <c r="E43" i="16" s="1"/>
  <c r="C44" i="16"/>
  <c r="E44" i="16" s="1"/>
  <c r="C45" i="16"/>
  <c r="C46" i="16"/>
  <c r="D46" i="16" s="1"/>
  <c r="F46" i="16" s="1"/>
  <c r="C47" i="16"/>
  <c r="D47" i="16" s="1"/>
  <c r="F47" i="16" s="1"/>
  <c r="C48" i="16"/>
  <c r="E48" i="16" s="1"/>
  <c r="C49" i="16"/>
  <c r="E49" i="16" s="1"/>
  <c r="C36" i="16"/>
  <c r="D36" i="16" s="1"/>
  <c r="I16" i="12"/>
  <c r="G16" i="12" s="1"/>
  <c r="J11" i="12"/>
  <c r="I11" i="9"/>
  <c r="E25" i="8"/>
  <c r="E26" i="8"/>
  <c r="B16" i="12"/>
  <c r="C16" i="12"/>
  <c r="E16" i="12"/>
  <c r="F16" i="12"/>
  <c r="J16" i="12" s="1"/>
  <c r="C17" i="12"/>
  <c r="B17" i="9"/>
  <c r="B16" i="9"/>
  <c r="B17" i="12"/>
  <c r="G14" i="12"/>
  <c r="I22" i="12"/>
  <c r="G22" i="12" s="1"/>
  <c r="G43" i="8"/>
  <c r="G46" i="8"/>
  <c r="G47" i="8"/>
  <c r="F53" i="8"/>
  <c r="J37" i="8"/>
  <c r="B18" i="12"/>
  <c r="C18" i="12"/>
  <c r="B14" i="12"/>
  <c r="C14" i="12"/>
  <c r="E9" i="12"/>
  <c r="I20" i="8"/>
  <c r="L19" i="8"/>
  <c r="L18" i="8"/>
  <c r="L20" i="8" s="1"/>
  <c r="J20" i="8" s="1"/>
  <c r="F22" i="12"/>
  <c r="J22" i="12" s="1"/>
  <c r="F22" i="9"/>
  <c r="I22" i="9"/>
  <c r="F21" i="9"/>
  <c r="C22" i="12"/>
  <c r="C21" i="12"/>
  <c r="B22" i="12"/>
  <c r="B21" i="12"/>
  <c r="B22" i="9"/>
  <c r="B21" i="9"/>
  <c r="F10" i="12"/>
  <c r="J10" i="12" s="1"/>
  <c r="C13" i="24"/>
  <c r="C15" i="24"/>
  <c r="B13" i="24"/>
  <c r="B15" i="24"/>
  <c r="I13" i="12"/>
  <c r="G13" i="12" s="1"/>
  <c r="L29" i="11"/>
  <c r="L27" i="11"/>
  <c r="L30" i="11"/>
  <c r="L32" i="11"/>
  <c r="N32" i="11" s="1"/>
  <c r="L26" i="11"/>
  <c r="B38" i="8"/>
  <c r="P8" i="8"/>
  <c r="Q8" i="8" s="1"/>
  <c r="N9" i="8"/>
  <c r="N10" i="8" s="1"/>
  <c r="O8" i="8"/>
  <c r="P7" i="8" s="1"/>
  <c r="Q7" i="8" s="1"/>
  <c r="L7" i="8"/>
  <c r="J8" i="8"/>
  <c r="L8" i="8" s="1"/>
  <c r="H9" i="8"/>
  <c r="H10" i="8" s="1"/>
  <c r="I10" i="8" s="1"/>
  <c r="M31" i="11"/>
  <c r="M28" i="11"/>
  <c r="R13" i="8"/>
  <c r="R12" i="8"/>
  <c r="F14" i="12"/>
  <c r="J14" i="12" s="1"/>
  <c r="E14" i="12"/>
  <c r="F13" i="12"/>
  <c r="J13" i="12" s="1"/>
  <c r="F13" i="9"/>
  <c r="I13" i="9" s="1"/>
  <c r="F12" i="9"/>
  <c r="I12" i="9" s="1"/>
  <c r="F9" i="9"/>
  <c r="I9" i="9" s="1"/>
  <c r="F10" i="9"/>
  <c r="I10" i="9" s="1"/>
  <c r="F18" i="9"/>
  <c r="I18" i="9" s="1"/>
  <c r="F19" i="9"/>
  <c r="I19" i="9" s="1"/>
  <c r="F20" i="9"/>
  <c r="I20" i="9" s="1"/>
  <c r="F23" i="9"/>
  <c r="I23" i="9" s="1"/>
  <c r="E13" i="9"/>
  <c r="H15" i="9"/>
  <c r="D16" i="17"/>
  <c r="D3" i="17"/>
  <c r="D17" i="17"/>
  <c r="D18" i="17"/>
  <c r="D19" i="17"/>
  <c r="D20" i="17"/>
  <c r="D21" i="17"/>
  <c r="D22" i="17"/>
  <c r="D23" i="17"/>
  <c r="D24" i="17"/>
  <c r="D25" i="17"/>
  <c r="D4" i="17"/>
  <c r="D5" i="17"/>
  <c r="D6" i="17"/>
  <c r="D7" i="17"/>
  <c r="D8" i="17"/>
  <c r="D9" i="17"/>
  <c r="D15" i="19"/>
  <c r="E15" i="19"/>
  <c r="F15" i="19"/>
  <c r="G15" i="19"/>
  <c r="H15" i="19"/>
  <c r="I15" i="19"/>
  <c r="J15" i="19"/>
  <c r="K15" i="19"/>
  <c r="D14" i="19"/>
  <c r="E14" i="19"/>
  <c r="F14" i="19"/>
  <c r="G14" i="19"/>
  <c r="H14" i="19"/>
  <c r="I14" i="19"/>
  <c r="J14" i="19"/>
  <c r="K14" i="19"/>
  <c r="C15" i="19"/>
  <c r="C14" i="19"/>
  <c r="D13" i="19"/>
  <c r="E13" i="19"/>
  <c r="F13" i="19"/>
  <c r="G13" i="19"/>
  <c r="H13" i="19"/>
  <c r="I13" i="19"/>
  <c r="J13" i="19"/>
  <c r="K13" i="19"/>
  <c r="C13" i="19"/>
  <c r="D12" i="19"/>
  <c r="E12" i="19"/>
  <c r="F12" i="19"/>
  <c r="G12" i="19"/>
  <c r="H12" i="19"/>
  <c r="I12" i="19"/>
  <c r="J12" i="19"/>
  <c r="K12" i="19"/>
  <c r="C12" i="19"/>
  <c r="D11" i="19"/>
  <c r="E11" i="19"/>
  <c r="F11" i="19"/>
  <c r="G11" i="19"/>
  <c r="H11" i="19"/>
  <c r="I11" i="19"/>
  <c r="J11" i="19"/>
  <c r="K11" i="19"/>
  <c r="C11" i="19"/>
  <c r="D10" i="19"/>
  <c r="E10" i="19"/>
  <c r="F10" i="19"/>
  <c r="G10" i="19"/>
  <c r="H10" i="19"/>
  <c r="I10" i="19"/>
  <c r="J10" i="19"/>
  <c r="K10" i="19"/>
  <c r="C10" i="19"/>
  <c r="D9" i="19"/>
  <c r="E9" i="19"/>
  <c r="F9" i="19"/>
  <c r="G9" i="19"/>
  <c r="H9" i="19"/>
  <c r="I9" i="19"/>
  <c r="J9" i="19"/>
  <c r="K9" i="19"/>
  <c r="C9" i="19"/>
  <c r="D8" i="19"/>
  <c r="E8" i="19"/>
  <c r="F8" i="19"/>
  <c r="G8" i="19"/>
  <c r="H8" i="19"/>
  <c r="I8" i="19"/>
  <c r="J8" i="19"/>
  <c r="K8" i="19"/>
  <c r="C8" i="19"/>
  <c r="D7" i="19"/>
  <c r="E7" i="19"/>
  <c r="F7" i="19"/>
  <c r="G7" i="19"/>
  <c r="H7" i="19"/>
  <c r="I7" i="19"/>
  <c r="J7" i="19"/>
  <c r="K7" i="19"/>
  <c r="C7" i="19"/>
  <c r="D6" i="19"/>
  <c r="E6" i="19"/>
  <c r="F6" i="19"/>
  <c r="G6" i="19"/>
  <c r="H6" i="19"/>
  <c r="I6" i="19"/>
  <c r="J6" i="19"/>
  <c r="K6" i="19"/>
  <c r="C6" i="19"/>
  <c r="D5" i="19"/>
  <c r="E5" i="19"/>
  <c r="F5" i="19"/>
  <c r="G5" i="19"/>
  <c r="H5" i="19"/>
  <c r="I5" i="19"/>
  <c r="J5" i="19"/>
  <c r="K5" i="19"/>
  <c r="C5" i="19"/>
  <c r="D4" i="19"/>
  <c r="E4" i="19"/>
  <c r="F4" i="19"/>
  <c r="G4" i="19"/>
  <c r="H4" i="19"/>
  <c r="I4" i="19"/>
  <c r="J4" i="19"/>
  <c r="K4" i="19"/>
  <c r="C4" i="19"/>
  <c r="D3" i="19"/>
  <c r="E3" i="19"/>
  <c r="F3" i="19"/>
  <c r="G3" i="19"/>
  <c r="H3" i="19"/>
  <c r="I3" i="19"/>
  <c r="J3" i="19"/>
  <c r="K3" i="19"/>
  <c r="C3" i="19"/>
  <c r="D15" i="21"/>
  <c r="E15" i="21"/>
  <c r="F15" i="21"/>
  <c r="G15" i="21"/>
  <c r="H15" i="21"/>
  <c r="C15" i="21"/>
  <c r="D14" i="21"/>
  <c r="E14" i="21"/>
  <c r="F14" i="21"/>
  <c r="G14" i="21"/>
  <c r="H14" i="21"/>
  <c r="C14" i="21"/>
  <c r="D13" i="21"/>
  <c r="E13" i="21"/>
  <c r="F13" i="21"/>
  <c r="G13" i="21"/>
  <c r="H13" i="21"/>
  <c r="C13" i="21"/>
  <c r="D12" i="21"/>
  <c r="E12" i="21"/>
  <c r="F12" i="21"/>
  <c r="G12" i="21"/>
  <c r="H12" i="21"/>
  <c r="C12" i="21"/>
  <c r="D11" i="21"/>
  <c r="E11" i="21"/>
  <c r="F11" i="21"/>
  <c r="G11" i="21"/>
  <c r="H11" i="21"/>
  <c r="C11" i="21"/>
  <c r="D10" i="21"/>
  <c r="E10" i="21"/>
  <c r="F10" i="21"/>
  <c r="G10" i="21"/>
  <c r="H10" i="21"/>
  <c r="C10" i="21"/>
  <c r="D9" i="21"/>
  <c r="E9" i="21"/>
  <c r="F9" i="21"/>
  <c r="G9" i="21"/>
  <c r="H9" i="21"/>
  <c r="C9" i="21"/>
  <c r="D8" i="21"/>
  <c r="E8" i="21"/>
  <c r="F8" i="21"/>
  <c r="G8" i="21"/>
  <c r="H8" i="21"/>
  <c r="C8" i="21"/>
  <c r="D7" i="21"/>
  <c r="E7" i="21"/>
  <c r="F7" i="21"/>
  <c r="G7" i="21"/>
  <c r="H7" i="21"/>
  <c r="C7" i="21"/>
  <c r="D6" i="21"/>
  <c r="E6" i="21"/>
  <c r="F6" i="21"/>
  <c r="G6" i="21"/>
  <c r="H6" i="21"/>
  <c r="C6" i="21"/>
  <c r="D5" i="21"/>
  <c r="E5" i="21"/>
  <c r="F5" i="21"/>
  <c r="G5" i="21"/>
  <c r="H5" i="21"/>
  <c r="C5" i="21"/>
  <c r="D4" i="21"/>
  <c r="E4" i="21"/>
  <c r="F4" i="21"/>
  <c r="G4" i="21"/>
  <c r="H4" i="21"/>
  <c r="C4" i="21"/>
  <c r="E3" i="21"/>
  <c r="F3" i="21"/>
  <c r="G3" i="21"/>
  <c r="H3" i="21"/>
  <c r="H22" i="9"/>
  <c r="G23" i="12"/>
  <c r="J23" i="12"/>
  <c r="C23" i="12"/>
  <c r="B23" i="12"/>
  <c r="H23" i="9"/>
  <c r="E23" i="9"/>
  <c r="B23" i="9"/>
  <c r="B8" i="12"/>
  <c r="E8" i="12"/>
  <c r="B9" i="12"/>
  <c r="C9" i="12"/>
  <c r="F9" i="12"/>
  <c r="J9" i="12" s="1"/>
  <c r="B10" i="12"/>
  <c r="D10" i="12"/>
  <c r="E10" i="12"/>
  <c r="I10" i="12"/>
  <c r="G10" i="12" s="1"/>
  <c r="B11" i="12"/>
  <c r="I11" i="12"/>
  <c r="G11" i="12" s="1"/>
  <c r="B12" i="12"/>
  <c r="C12" i="12"/>
  <c r="E12" i="12"/>
  <c r="F12" i="12"/>
  <c r="J12" i="12" s="1"/>
  <c r="I12" i="12"/>
  <c r="G12" i="12" s="1"/>
  <c r="B13" i="12"/>
  <c r="C13" i="12"/>
  <c r="E13" i="12"/>
  <c r="B19" i="12"/>
  <c r="C19" i="12"/>
  <c r="E19" i="12"/>
  <c r="F19" i="12"/>
  <c r="J19" i="12" s="1"/>
  <c r="I19" i="12"/>
  <c r="G19" i="12" s="1"/>
  <c r="B20" i="12"/>
  <c r="C20" i="12"/>
  <c r="E20" i="12"/>
  <c r="F20" i="12"/>
  <c r="J20" i="12" s="1"/>
  <c r="I20" i="12"/>
  <c r="G20" i="12" s="1"/>
  <c r="B8" i="9"/>
  <c r="E8" i="9"/>
  <c r="B9" i="9"/>
  <c r="E9" i="9"/>
  <c r="H9" i="9"/>
  <c r="B10" i="9"/>
  <c r="E10" i="9"/>
  <c r="H10" i="9"/>
  <c r="H11" i="9"/>
  <c r="B12" i="9"/>
  <c r="E12" i="9"/>
  <c r="H12" i="9"/>
  <c r="B13" i="9"/>
  <c r="H13" i="9"/>
  <c r="B15" i="9"/>
  <c r="E15" i="9"/>
  <c r="H18" i="9"/>
  <c r="B19" i="9"/>
  <c r="H19" i="9"/>
  <c r="B20" i="9"/>
  <c r="E20" i="9"/>
  <c r="H20" i="9"/>
  <c r="E6" i="8"/>
  <c r="E5" i="8"/>
  <c r="J35" i="8"/>
  <c r="G42" i="8"/>
  <c r="L33" i="25"/>
  <c r="N33" i="25" s="1"/>
  <c r="E21" i="12"/>
  <c r="I21" i="12" s="1"/>
  <c r="G21" i="12" s="1"/>
  <c r="E22" i="9"/>
  <c r="J36" i="8"/>
  <c r="E21" i="9"/>
  <c r="H21" i="9" s="1"/>
  <c r="C22" i="8"/>
  <c r="E18" i="12" s="1"/>
  <c r="H18" i="12" s="1"/>
  <c r="E16" i="9"/>
  <c r="F18" i="12"/>
  <c r="F17" i="12"/>
  <c r="E17" i="12"/>
  <c r="H17" i="12" s="1"/>
  <c r="I17" i="12" s="1"/>
  <c r="G17" i="12" s="1"/>
  <c r="N3" i="26" l="1"/>
  <c r="E3" i="26" s="1"/>
  <c r="D39" i="16"/>
  <c r="F39" i="16" s="1"/>
  <c r="G54" i="8"/>
  <c r="G56" i="8"/>
  <c r="D38" i="16"/>
  <c r="F38" i="16" s="1"/>
  <c r="D49" i="16"/>
  <c r="E36" i="16"/>
  <c r="C17" i="24"/>
  <c r="J9" i="8"/>
  <c r="L9" i="8" s="1"/>
  <c r="E42" i="16"/>
  <c r="E41" i="16"/>
  <c r="F27" i="17"/>
  <c r="D44" i="16"/>
  <c r="F44" i="16" s="1"/>
  <c r="D43" i="16"/>
  <c r="F43" i="16" s="1"/>
  <c r="E40" i="16"/>
  <c r="E37" i="16"/>
  <c r="H16" i="9"/>
  <c r="I16" i="9"/>
  <c r="F44" i="8"/>
  <c r="F49" i="8"/>
  <c r="E47" i="16"/>
  <c r="J38" i="8"/>
  <c r="E46" i="16"/>
  <c r="G55" i="8"/>
  <c r="P9" i="8"/>
  <c r="Q9" i="8" s="1"/>
  <c r="G52" i="8"/>
  <c r="I21" i="9"/>
  <c r="G61" i="8"/>
  <c r="F61" i="8"/>
  <c r="I9" i="8"/>
  <c r="B17" i="24"/>
  <c r="N11" i="8"/>
  <c r="O10" i="8"/>
  <c r="P10" i="8"/>
  <c r="Q10" i="8" s="1"/>
  <c r="F59" i="8"/>
  <c r="G59" i="8"/>
  <c r="F60" i="8"/>
  <c r="G60" i="8"/>
  <c r="F58" i="8"/>
  <c r="G58" i="8"/>
  <c r="G45" i="8"/>
  <c r="E6" i="28"/>
  <c r="J10" i="8"/>
  <c r="L10" i="8" s="1"/>
  <c r="O9" i="8"/>
  <c r="F50" i="8"/>
  <c r="F48" i="8"/>
  <c r="C64" i="8"/>
  <c r="H11" i="8"/>
  <c r="G51" i="8"/>
  <c r="E17" i="9"/>
  <c r="G57" i="8"/>
  <c r="I7" i="28"/>
  <c r="I13" i="29" s="1"/>
  <c r="I14" i="29" s="1"/>
  <c r="H7" i="28"/>
  <c r="G13" i="29" s="1"/>
  <c r="G14" i="29" s="1"/>
  <c r="C7" i="28"/>
  <c r="A8" i="28"/>
  <c r="B7" i="28"/>
  <c r="D7" i="28" s="1"/>
  <c r="C9" i="26"/>
  <c r="P7" i="26"/>
  <c r="P5" i="26"/>
  <c r="C11" i="26"/>
  <c r="P4" i="26"/>
  <c r="P11" i="26"/>
  <c r="C15" i="26"/>
  <c r="C13" i="26"/>
  <c r="P12" i="26"/>
  <c r="C7" i="26"/>
  <c r="C5" i="26"/>
  <c r="C14" i="26"/>
  <c r="C6" i="26"/>
  <c r="C12" i="26"/>
  <c r="C4" i="26"/>
  <c r="C10" i="26"/>
  <c r="J21" i="12"/>
  <c r="J18" i="12"/>
  <c r="I18" i="12"/>
  <c r="G18" i="12" s="1"/>
  <c r="J17" i="12"/>
  <c r="L33" i="11"/>
  <c r="N33" i="11" s="1"/>
  <c r="G8" i="12" s="1"/>
  <c r="M33" i="25"/>
  <c r="M33" i="11"/>
  <c r="I3" i="26" l="1"/>
  <c r="P3" i="26"/>
  <c r="D10" i="26"/>
  <c r="P10" i="26"/>
  <c r="D14" i="26"/>
  <c r="P14" i="26"/>
  <c r="E9" i="26"/>
  <c r="P9" i="26"/>
  <c r="E6" i="26"/>
  <c r="P6" i="26"/>
  <c r="H13" i="26"/>
  <c r="P13" i="26"/>
  <c r="H15" i="26"/>
  <c r="P15" i="26"/>
  <c r="G8" i="26"/>
  <c r="P8" i="26"/>
  <c r="E48" i="11"/>
  <c r="E48" i="25" s="1"/>
  <c r="E59" i="11"/>
  <c r="E59" i="25" s="1"/>
  <c r="E7" i="28"/>
  <c r="G5" i="26"/>
  <c r="I5" i="26"/>
  <c r="G14" i="26"/>
  <c r="F14" i="26"/>
  <c r="G62" i="8"/>
  <c r="E63" i="8" s="1"/>
  <c r="H17" i="9"/>
  <c r="I17" i="9"/>
  <c r="F62" i="8"/>
  <c r="D64" i="8" s="1"/>
  <c r="J11" i="8"/>
  <c r="L11" i="8" s="1"/>
  <c r="H12" i="8"/>
  <c r="P11" i="8"/>
  <c r="Q11" i="8" s="1"/>
  <c r="N12" i="8"/>
  <c r="H8" i="28"/>
  <c r="G15" i="29" s="1"/>
  <c r="G16" i="29" s="1"/>
  <c r="I8" i="28"/>
  <c r="I15" i="29" s="1"/>
  <c r="I16" i="29" s="1"/>
  <c r="C8" i="28"/>
  <c r="Y2" i="27"/>
  <c r="J58" i="10"/>
  <c r="H61" i="10"/>
  <c r="H56" i="10"/>
  <c r="J52" i="10"/>
  <c r="H54" i="10"/>
  <c r="J54" i="10"/>
  <c r="H58" i="10"/>
  <c r="J61" i="10"/>
  <c r="H52" i="10"/>
  <c r="J56" i="10"/>
  <c r="D13" i="26"/>
  <c r="H11" i="26"/>
  <c r="F7" i="26"/>
  <c r="F11" i="26"/>
  <c r="I10" i="26"/>
  <c r="G13" i="26"/>
  <c r="H10" i="26"/>
  <c r="E7" i="26"/>
  <c r="G7" i="26"/>
  <c r="I11" i="26"/>
  <c r="I7" i="26"/>
  <c r="D11" i="26"/>
  <c r="G11" i="26"/>
  <c r="G10" i="26"/>
  <c r="D7" i="26"/>
  <c r="F10" i="26"/>
  <c r="H7" i="26"/>
  <c r="E11" i="26"/>
  <c r="B8" i="28"/>
  <c r="D8" i="28" s="1"/>
  <c r="F13" i="26"/>
  <c r="H5" i="26"/>
  <c r="G6" i="26"/>
  <c r="D5" i="26"/>
  <c r="I6" i="26"/>
  <c r="F9" i="26"/>
  <c r="H4" i="26"/>
  <c r="E8" i="26"/>
  <c r="H14" i="26"/>
  <c r="G4" i="26"/>
  <c r="F4" i="26"/>
  <c r="E5" i="26"/>
  <c r="E4" i="26"/>
  <c r="I4" i="26"/>
  <c r="E14" i="26"/>
  <c r="F5" i="26"/>
  <c r="D6" i="26"/>
  <c r="D4" i="26"/>
  <c r="I14" i="26"/>
  <c r="D3" i="26"/>
  <c r="D9" i="26"/>
  <c r="G9" i="26"/>
  <c r="I9" i="26"/>
  <c r="D12" i="26"/>
  <c r="H12" i="26"/>
  <c r="I12" i="26"/>
  <c r="E15" i="26"/>
  <c r="D15" i="26"/>
  <c r="I15" i="26"/>
  <c r="G15" i="26"/>
  <c r="F15" i="26"/>
  <c r="H8" i="26"/>
  <c r="F8" i="26"/>
  <c r="I8" i="26"/>
  <c r="H9" i="26"/>
  <c r="D8" i="26"/>
  <c r="E13" i="26"/>
  <c r="E12" i="26"/>
  <c r="F6" i="26"/>
  <c r="G12" i="26"/>
  <c r="I13" i="26"/>
  <c r="H6" i="26"/>
  <c r="E10" i="26"/>
  <c r="F12" i="26"/>
  <c r="H3" i="26"/>
  <c r="G3" i="26"/>
  <c r="F3" i="26"/>
  <c r="G24" i="12"/>
  <c r="E8" i="28" l="1"/>
  <c r="E10" i="28" s="1"/>
  <c r="N13" i="8"/>
  <c r="P12" i="8"/>
  <c r="Q12" i="8" s="1"/>
  <c r="J12" i="8"/>
  <c r="L12" i="8" s="1"/>
  <c r="H13" i="8"/>
  <c r="G45" i="10"/>
  <c r="H45" i="10"/>
  <c r="H43" i="10"/>
  <c r="G43" i="10"/>
  <c r="U4" i="27"/>
  <c r="U14" i="27"/>
  <c r="U6" i="27"/>
  <c r="U13" i="27"/>
  <c r="U11" i="27"/>
  <c r="U7" i="27"/>
  <c r="U8" i="27"/>
  <c r="U15" i="27"/>
  <c r="U5" i="27"/>
  <c r="U9" i="27"/>
  <c r="U12" i="27"/>
  <c r="U10" i="27"/>
  <c r="U3" i="27"/>
  <c r="P16" i="26"/>
  <c r="H14" i="8" l="1"/>
  <c r="J13" i="8"/>
  <c r="L13" i="8" s="1"/>
  <c r="N14" i="8"/>
  <c r="P13" i="8"/>
  <c r="Q13" i="8" s="1"/>
  <c r="M6" i="27"/>
  <c r="V6" i="27"/>
  <c r="M9" i="27"/>
  <c r="V9" i="27"/>
  <c r="M15" i="27"/>
  <c r="V15" i="27"/>
  <c r="M8" i="27"/>
  <c r="V8" i="27"/>
  <c r="M3" i="27"/>
  <c r="V3" i="27"/>
  <c r="M11" i="27"/>
  <c r="V11" i="27"/>
  <c r="M10" i="27"/>
  <c r="V10" i="27"/>
  <c r="M13" i="27"/>
  <c r="V13" i="27"/>
  <c r="M12" i="27"/>
  <c r="V12" i="27"/>
  <c r="M4" i="27"/>
  <c r="V4" i="27"/>
  <c r="D13" i="25"/>
  <c r="D13" i="11"/>
  <c r="M14" i="27"/>
  <c r="V14" i="27"/>
  <c r="C13" i="25"/>
  <c r="C13" i="11"/>
  <c r="M7" i="27"/>
  <c r="V7" i="27"/>
  <c r="D14" i="25"/>
  <c r="D14" i="11"/>
  <c r="M5" i="27"/>
  <c r="V5" i="27"/>
  <c r="C14" i="25"/>
  <c r="C14" i="11"/>
  <c r="E53" i="11" l="1"/>
  <c r="E42" i="25"/>
  <c r="E43" i="25" s="1"/>
  <c r="E44" i="25" s="1"/>
  <c r="N15" i="8"/>
  <c r="P14" i="8"/>
  <c r="Q14" i="8" s="1"/>
  <c r="J14" i="8"/>
  <c r="L14" i="8" s="1"/>
  <c r="H15" i="8"/>
  <c r="J10" i="27"/>
  <c r="G10" i="27"/>
  <c r="F10" i="27"/>
  <c r="K10" i="27"/>
  <c r="I10" i="27"/>
  <c r="E10" i="27"/>
  <c r="H10" i="27"/>
  <c r="C10" i="27"/>
  <c r="D10" i="27"/>
  <c r="E5" i="27"/>
  <c r="H5" i="27"/>
  <c r="K5" i="27"/>
  <c r="D5" i="27"/>
  <c r="G5" i="27"/>
  <c r="I5" i="27"/>
  <c r="F5" i="27"/>
  <c r="C5" i="27"/>
  <c r="J5" i="27"/>
  <c r="D14" i="27"/>
  <c r="J14" i="27"/>
  <c r="F14" i="27"/>
  <c r="K14" i="27"/>
  <c r="I14" i="27"/>
  <c r="E14" i="27"/>
  <c r="H14" i="27"/>
  <c r="C14" i="27"/>
  <c r="G14" i="27"/>
  <c r="E13" i="27"/>
  <c r="J13" i="27"/>
  <c r="F13" i="27"/>
  <c r="C13" i="27"/>
  <c r="D13" i="27"/>
  <c r="H13" i="27"/>
  <c r="K13" i="27"/>
  <c r="G13" i="27"/>
  <c r="I13" i="27"/>
  <c r="F8" i="27"/>
  <c r="D8" i="27"/>
  <c r="K8" i="27"/>
  <c r="G8" i="27"/>
  <c r="I8" i="27"/>
  <c r="E8" i="27"/>
  <c r="H8" i="27"/>
  <c r="C8" i="27"/>
  <c r="J8" i="27"/>
  <c r="C7" i="27"/>
  <c r="F7" i="27"/>
  <c r="K7" i="27"/>
  <c r="I7" i="27"/>
  <c r="G7" i="27"/>
  <c r="D7" i="27"/>
  <c r="E7" i="27"/>
  <c r="H7" i="27"/>
  <c r="J7" i="27"/>
  <c r="F4" i="27"/>
  <c r="J4" i="27"/>
  <c r="K4" i="27"/>
  <c r="D4" i="27"/>
  <c r="G4" i="27"/>
  <c r="E4" i="27"/>
  <c r="I4" i="27"/>
  <c r="C4" i="27"/>
  <c r="H4" i="27"/>
  <c r="K11" i="27"/>
  <c r="G11" i="27"/>
  <c r="I11" i="27"/>
  <c r="E11" i="27"/>
  <c r="J11" i="27"/>
  <c r="D11" i="27"/>
  <c r="C11" i="27"/>
  <c r="H11" i="27"/>
  <c r="F11" i="27"/>
  <c r="C9" i="27"/>
  <c r="J9" i="27"/>
  <c r="F9" i="27"/>
  <c r="I9" i="27"/>
  <c r="E9" i="27"/>
  <c r="K9" i="27"/>
  <c r="G9" i="27"/>
  <c r="H9" i="27"/>
  <c r="D9" i="27"/>
  <c r="E15" i="27"/>
  <c r="C15" i="27"/>
  <c r="F15" i="27"/>
  <c r="I15" i="27"/>
  <c r="H15" i="27"/>
  <c r="D15" i="27"/>
  <c r="K15" i="27"/>
  <c r="G15" i="27"/>
  <c r="J15" i="27"/>
  <c r="E42" i="11"/>
  <c r="V16" i="27"/>
  <c r="E53" i="25"/>
  <c r="E54" i="25" s="1"/>
  <c r="E55" i="25" s="1"/>
  <c r="C12" i="27"/>
  <c r="J12" i="27"/>
  <c r="D12" i="27"/>
  <c r="E12" i="27"/>
  <c r="H12" i="27"/>
  <c r="F12" i="27"/>
  <c r="K12" i="27"/>
  <c r="I12" i="27"/>
  <c r="G12" i="27"/>
  <c r="G3" i="27"/>
  <c r="I3" i="27"/>
  <c r="K3" i="27"/>
  <c r="F3" i="27"/>
  <c r="E3" i="27"/>
  <c r="C3" i="27"/>
  <c r="H3" i="27"/>
  <c r="D3" i="27"/>
  <c r="J3" i="27"/>
  <c r="G6" i="27"/>
  <c r="J6" i="27"/>
  <c r="K6" i="27"/>
  <c r="I6" i="27"/>
  <c r="E6" i="27"/>
  <c r="F6" i="27"/>
  <c r="C6" i="27"/>
  <c r="H6" i="27"/>
  <c r="D6" i="27"/>
  <c r="G8" i="9" l="1"/>
  <c r="H8" i="9" s="1"/>
  <c r="E57" i="11"/>
  <c r="E57" i="25" s="1"/>
  <c r="C2" i="24"/>
  <c r="H8" i="12"/>
  <c r="E54" i="11"/>
  <c r="D6" i="8" s="1"/>
  <c r="F8" i="12" s="1"/>
  <c r="I15" i="8"/>
  <c r="J15" i="8"/>
  <c r="P15" i="8"/>
  <c r="Q15" i="8" s="1"/>
  <c r="N16" i="8"/>
  <c r="E43" i="11"/>
  <c r="N43" i="11" s="1"/>
  <c r="B2" i="24"/>
  <c r="E46" i="11"/>
  <c r="E46" i="25" s="1"/>
  <c r="N46" i="11" l="1"/>
  <c r="N43" i="25"/>
  <c r="N44" i="11"/>
  <c r="M54" i="11"/>
  <c r="N57" i="11"/>
  <c r="N54" i="11"/>
  <c r="M43" i="11"/>
  <c r="I8" i="12"/>
  <c r="I24" i="12" s="1"/>
  <c r="H27" i="12" s="1"/>
  <c r="J8" i="12"/>
  <c r="J24" i="12" s="1"/>
  <c r="J29" i="12" s="1"/>
  <c r="H24" i="9"/>
  <c r="G27" i="9" s="1"/>
  <c r="E2" i="23"/>
  <c r="E8" i="23"/>
  <c r="E9" i="23" s="1"/>
  <c r="E10" i="23"/>
  <c r="E55" i="11"/>
  <c r="E7" i="23"/>
  <c r="F7" i="23"/>
  <c r="C3" i="24"/>
  <c r="C5" i="24" s="1"/>
  <c r="F3" i="23"/>
  <c r="F4" i="23" s="1"/>
  <c r="E20" i="24"/>
  <c r="E44" i="11"/>
  <c r="E3" i="23"/>
  <c r="E4" i="23" s="1"/>
  <c r="E5" i="23"/>
  <c r="E19" i="24"/>
  <c r="G2" i="24"/>
  <c r="P16" i="8"/>
  <c r="Q16" i="8" s="1"/>
  <c r="N17" i="8"/>
  <c r="I16" i="8"/>
  <c r="L15" i="8"/>
  <c r="I11" i="8"/>
  <c r="I12" i="8"/>
  <c r="I13" i="8"/>
  <c r="I14" i="8" s="1"/>
  <c r="F2" i="23"/>
  <c r="F5" i="23" s="1"/>
  <c r="B3" i="24"/>
  <c r="B5" i="24" s="1"/>
  <c r="D5" i="8"/>
  <c r="M46" i="11" l="1"/>
  <c r="M47" i="11" s="1"/>
  <c r="M48" i="11" s="1"/>
  <c r="M44" i="11"/>
  <c r="M45" i="11" s="1"/>
  <c r="N54" i="25"/>
  <c r="N55" i="11"/>
  <c r="N55" i="25" s="1"/>
  <c r="N56" i="11"/>
  <c r="N56" i="25" s="1"/>
  <c r="N57" i="25"/>
  <c r="N58" i="11"/>
  <c r="M57" i="11"/>
  <c r="M58" i="11" s="1"/>
  <c r="M59" i="11" s="1"/>
  <c r="M55" i="11"/>
  <c r="M56" i="11" s="1"/>
  <c r="N45" i="11"/>
  <c r="N45" i="25" s="1"/>
  <c r="N44" i="25"/>
  <c r="N46" i="25"/>
  <c r="N47" i="11"/>
  <c r="M43" i="25"/>
  <c r="B9" i="24"/>
  <c r="M54" i="25"/>
  <c r="E28" i="12"/>
  <c r="E30" i="12" s="1"/>
  <c r="E27" i="12"/>
  <c r="E29" i="12" s="1"/>
  <c r="H29" i="12" s="1"/>
  <c r="E27" i="9"/>
  <c r="E29" i="9" s="1"/>
  <c r="G29" i="9" s="1"/>
  <c r="E28" i="9"/>
  <c r="E30" i="9" s="1"/>
  <c r="G30" i="9" s="1"/>
  <c r="G28" i="9"/>
  <c r="J28" i="12"/>
  <c r="J30" i="12" s="1"/>
  <c r="J27" i="12"/>
  <c r="F10" i="23"/>
  <c r="F8" i="23"/>
  <c r="F9" i="23" s="1"/>
  <c r="C19" i="24"/>
  <c r="C7" i="24"/>
  <c r="C9" i="24"/>
  <c r="F8" i="9"/>
  <c r="I8" i="9" s="1"/>
  <c r="N18" i="8"/>
  <c r="P17" i="8"/>
  <c r="B19" i="24"/>
  <c r="B7" i="24"/>
  <c r="M55" i="25" l="1"/>
  <c r="M57" i="25"/>
  <c r="N48" i="11"/>
  <c r="N48" i="25" s="1"/>
  <c r="N47" i="25"/>
  <c r="N58" i="25"/>
  <c r="N59" i="11"/>
  <c r="N59" i="25" s="1"/>
  <c r="M46" i="25"/>
  <c r="M45" i="25"/>
  <c r="M44" i="25"/>
  <c r="I29" i="12"/>
  <c r="H28" i="12"/>
  <c r="I27" i="12"/>
  <c r="I24" i="9"/>
  <c r="Q17" i="8"/>
  <c r="T4" i="8"/>
  <c r="I28" i="12"/>
  <c r="H30" i="12"/>
  <c r="I30" i="12"/>
  <c r="M58" i="25"/>
  <c r="M56" i="25"/>
  <c r="P18" i="8"/>
  <c r="O18" i="8"/>
  <c r="M48" i="25" l="1"/>
  <c r="M47" i="25"/>
  <c r="I29" i="9"/>
  <c r="H29" i="9" s="1"/>
  <c r="I27" i="9"/>
  <c r="H27" i="9" s="1"/>
  <c r="I28" i="9"/>
  <c r="I30" i="9" s="1"/>
  <c r="H30" i="9" s="1"/>
  <c r="M59" i="25"/>
  <c r="O11" i="8"/>
  <c r="O12" i="8"/>
  <c r="O13" i="8" s="1"/>
  <c r="O14" i="8" s="1"/>
  <c r="O15" i="8" s="1"/>
  <c r="O16" i="8" s="1"/>
  <c r="O17" i="8" s="1"/>
  <c r="T3" i="8" s="1"/>
  <c r="O19" i="8"/>
  <c r="Q18" i="8"/>
  <c r="H28"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Alicea</author>
    <author>Uys Jonker</author>
  </authors>
  <commentList>
    <comment ref="C15" authorId="0" shapeId="0" xr:uid="{00000000-0006-0000-0200-000001000000}">
      <text>
        <r>
          <rPr>
            <b/>
            <sz val="9"/>
            <color indexed="81"/>
            <rFont val="Tahoma"/>
            <family val="2"/>
          </rPr>
          <t>Formula: c -d 
C17 - C16</t>
        </r>
      </text>
    </comment>
    <comment ref="C16" authorId="0" shapeId="0" xr:uid="{00000000-0006-0000-0200-000002000000}">
      <text>
        <r>
          <rPr>
            <b/>
            <sz val="9"/>
            <color indexed="81"/>
            <rFont val="Tahoma"/>
            <family val="2"/>
          </rPr>
          <t>Formula: 
√c^2-d^2
=SQRT('Entry Form'!G39^2-'Entry Form'!K38^2)</t>
        </r>
      </text>
    </comment>
    <comment ref="M41" authorId="1" shapeId="0" xr:uid="{00000000-0006-0000-0200-000003000000}">
      <text>
        <r>
          <rPr>
            <b/>
            <sz val="9"/>
            <color indexed="81"/>
            <rFont val="Tahoma"/>
            <family val="2"/>
          </rPr>
          <t>Uys Jonker:</t>
        </r>
        <r>
          <rPr>
            <sz val="9"/>
            <color indexed="81"/>
            <rFont val="Tahoma"/>
            <family val="2"/>
          </rPr>
          <t xml:space="preserve">
Min calculated with Full fuel.
Max calculate with no fuel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Uys Jonker</author>
  </authors>
  <commentList>
    <comment ref="D7" authorId="0" shapeId="0" xr:uid="{00000000-0006-0000-0500-000001000000}">
      <text>
        <r>
          <rPr>
            <b/>
            <sz val="9"/>
            <color indexed="81"/>
            <rFont val="Tahoma"/>
            <family val="2"/>
          </rPr>
          <t>Uys Jonker:</t>
        </r>
        <r>
          <rPr>
            <sz val="9"/>
            <color indexed="81"/>
            <rFont val="Tahoma"/>
            <family val="2"/>
          </rPr>
          <t xml:space="preserve">
With AP's weight of 99.9kg calculated 
</t>
        </r>
      </text>
    </comment>
    <comment ref="F7" authorId="0" shapeId="0" xr:uid="{00000000-0006-0000-0500-000002000000}">
      <text>
        <r>
          <rPr>
            <b/>
            <sz val="9"/>
            <color indexed="81"/>
            <rFont val="Tahoma"/>
            <family val="2"/>
          </rPr>
          <t>Uys Jonker:</t>
        </r>
        <r>
          <rPr>
            <sz val="9"/>
            <color indexed="81"/>
            <rFont val="Tahoma"/>
            <family val="2"/>
          </rPr>
          <t xml:space="preserve">
With AP's weight of 99.9kg calculated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Alicea Vermaas</author>
  </authors>
  <commentList>
    <comment ref="V16" authorId="0" shapeId="0" xr:uid="{00000000-0006-0000-1100-000001000000}">
      <text>
        <r>
          <rPr>
            <b/>
            <sz val="9"/>
            <color indexed="81"/>
            <rFont val="Tahoma"/>
            <family val="2"/>
          </rPr>
          <t>Alicea Vermaas:</t>
        </r>
        <r>
          <rPr>
            <sz val="9"/>
            <color indexed="81"/>
            <rFont val="Tahoma"/>
            <family val="2"/>
          </rPr>
          <t xml:space="preserve">
Min value by changing O3:O15 (Solver)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Alicea Vermaas</author>
  </authors>
  <commentList>
    <comment ref="P16" authorId="0" shapeId="0" xr:uid="{00000000-0006-0000-1200-000001000000}">
      <text>
        <r>
          <rPr>
            <b/>
            <sz val="9"/>
            <color indexed="81"/>
            <rFont val="Tahoma"/>
            <family val="2"/>
          </rPr>
          <t xml:space="preserve">Minimum value by changing L3:L15
</t>
        </r>
      </text>
    </comment>
  </commentList>
</comments>
</file>

<file path=xl/sharedStrings.xml><?xml version="1.0" encoding="utf-8"?>
<sst xmlns="http://schemas.openxmlformats.org/spreadsheetml/2006/main" count="790" uniqueCount="385">
  <si>
    <t>kg</t>
  </si>
  <si>
    <t>mm</t>
  </si>
  <si>
    <t>Control Sheet:</t>
  </si>
  <si>
    <t xml:space="preserve">( To be used in conjunction with document S.JS-060    </t>
  </si>
  <si>
    <t>A. Technical data</t>
  </si>
  <si>
    <t>1. Geometry Measurement Reference Point: Wing leading edge at root rib</t>
  </si>
  <si>
    <t>Loading instructions:</t>
  </si>
  <si>
    <t>Left Wing</t>
  </si>
  <si>
    <t>Right Wing</t>
  </si>
  <si>
    <t xml:space="preserve">Weight at Front Wheel: </t>
  </si>
  <si>
    <t>M1=</t>
  </si>
  <si>
    <t xml:space="preserve">Weight at Tail Wheel: </t>
  </si>
  <si>
    <t>M2=</t>
  </si>
  <si>
    <t>Signature</t>
  </si>
  <si>
    <t>B. Center of Gravity measurement</t>
  </si>
  <si>
    <t>M1 =</t>
  </si>
  <si>
    <t>M2 =</t>
  </si>
  <si>
    <t>Pilot</t>
  </si>
  <si>
    <t>Component mass</t>
  </si>
  <si>
    <t>Highest allowable load:</t>
  </si>
  <si>
    <t>6. Extend landing gear and set flaps to position 3.</t>
  </si>
  <si>
    <t>Max</t>
  </si>
  <si>
    <t>Min</t>
  </si>
  <si>
    <t>Empty CG position:</t>
  </si>
  <si>
    <t xml:space="preserve">Moment: </t>
  </si>
  <si>
    <t>Arm</t>
  </si>
  <si>
    <t>Loading points:</t>
  </si>
  <si>
    <t>Mass</t>
  </si>
  <si>
    <t>Tot</t>
  </si>
  <si>
    <t>Empty aircraft</t>
  </si>
  <si>
    <t>Tail1</t>
  </si>
  <si>
    <t>Expendable tail tank</t>
  </si>
  <si>
    <t>Tail2</t>
  </si>
  <si>
    <t>TailB</t>
  </si>
  <si>
    <t>Tail battery</t>
  </si>
  <si>
    <t>Bag</t>
  </si>
  <si>
    <t>Baggage compartment</t>
  </si>
  <si>
    <t>O2</t>
  </si>
  <si>
    <t>O2 bottle</t>
  </si>
  <si>
    <t>FR</t>
  </si>
  <si>
    <t>Totals</t>
  </si>
  <si>
    <t>Table to define CG envelope</t>
  </si>
  <si>
    <t>Max allow</t>
  </si>
  <si>
    <t>Actual Loading (kg)</t>
  </si>
  <si>
    <t>Max allowed (kg)</t>
  </si>
  <si>
    <t>Mass (kg)</t>
  </si>
  <si>
    <t>Moment (kg.m)</t>
  </si>
  <si>
    <t>Configuration Set-up*</t>
  </si>
  <si>
    <t>Component</t>
  </si>
  <si>
    <t>Bug wiper motors (x2)</t>
  </si>
  <si>
    <t>Transponder antenna</t>
  </si>
  <si>
    <t>Flight Manual</t>
  </si>
  <si>
    <t>Flight Folio</t>
  </si>
  <si>
    <t>Rigging Tool</t>
  </si>
  <si>
    <t>*All items must be in the fuselage when the CG is measured as well as when the fuselage is weighed</t>
  </si>
  <si>
    <t>Scales used</t>
  </si>
  <si>
    <t>#</t>
  </si>
  <si>
    <t>Tolerance</t>
  </si>
  <si>
    <t>Component weight</t>
  </si>
  <si>
    <t>Weight (kg)</t>
  </si>
  <si>
    <t>Tailplane</t>
  </si>
  <si>
    <t>Fuselage*</t>
  </si>
  <si>
    <t>This table gives the Arm positions for the various loads</t>
  </si>
  <si>
    <t>These value define the slopes of the envelope graph</t>
  </si>
  <si>
    <t>Note: Do not change these values unless you absolutely sure what you are doing.</t>
  </si>
  <si>
    <t xml:space="preserve">  Flying condition</t>
  </si>
  <si>
    <t>Mass 
(kg)</t>
  </si>
  <si>
    <t>Pilot + Parachute</t>
  </si>
  <si>
    <t>H2O Tips</t>
  </si>
  <si>
    <t>18m</t>
  </si>
  <si>
    <t>Date</t>
  </si>
  <si>
    <t>Flying CG position (mm)</t>
  </si>
  <si>
    <t>B4 ballast</t>
  </si>
  <si>
    <t>B4B</t>
  </si>
  <si>
    <t>Constants</t>
  </si>
  <si>
    <t>x =</t>
  </si>
  <si>
    <t>c =</t>
  </si>
  <si>
    <t>Left Wingtip (18m)</t>
  </si>
  <si>
    <t>Right Wingtip (18m)</t>
  </si>
  <si>
    <t>Left Wingtip 18m</t>
  </si>
  <si>
    <t>Right Wingtip 18m</t>
  </si>
  <si>
    <t>Max MOM</t>
  </si>
  <si>
    <t>Min MOM</t>
  </si>
  <si>
    <t>kg.m</t>
  </si>
  <si>
    <t>Unit</t>
  </si>
  <si>
    <t>Empty weight:</t>
  </si>
  <si>
    <t>Empty mass:</t>
  </si>
  <si>
    <t>Mass of non lifting components:</t>
  </si>
  <si>
    <t>d =</t>
  </si>
  <si>
    <t>Measured Data</t>
  </si>
  <si>
    <t>Distance from centre of main wheel shaft to centre of tail wheel shaft</t>
  </si>
  <si>
    <t>Pilot ranges 18m:</t>
  </si>
  <si>
    <t>Empty aircraft (18m)</t>
  </si>
  <si>
    <t>Water ballast tips</t>
  </si>
  <si>
    <t xml:space="preserve">First issue </t>
  </si>
  <si>
    <t xml:space="preserve">Revision History </t>
  </si>
  <si>
    <t>Revision</t>
  </si>
  <si>
    <t xml:space="preserve">Date </t>
  </si>
  <si>
    <t xml:space="preserve">Description </t>
  </si>
  <si>
    <t>Serial number</t>
  </si>
  <si>
    <t>Calibration Due Date</t>
  </si>
  <si>
    <t>Inspector Name</t>
  </si>
  <si>
    <t>in</t>
  </si>
  <si>
    <t>lb</t>
  </si>
  <si>
    <t>Description of change</t>
  </si>
  <si>
    <t xml:space="preserve">Arm </t>
  </si>
  <si>
    <t>lb.in</t>
  </si>
  <si>
    <t>1. Ensure all equipment in list is stored in their allocated places.</t>
  </si>
  <si>
    <t>2. Ensure tailplane and wing tips + winglets are assembled.</t>
  </si>
  <si>
    <t>3. Remove trim ballast in nose/tail.</t>
  </si>
  <si>
    <t>4. Ensure all water tanks are empty</t>
  </si>
  <si>
    <t>5. If fuel tanks are installed, ensure that fuel level is at the minimum usable amount</t>
  </si>
  <si>
    <t>6. Remove parachute, oxygen bottle</t>
  </si>
  <si>
    <t>M1</t>
  </si>
  <si>
    <t>M2</t>
  </si>
  <si>
    <t>Revised calculated data</t>
  </si>
  <si>
    <t>Affect on</t>
  </si>
  <si>
    <t>Weight at front wheel</t>
  </si>
  <si>
    <t xml:space="preserve">Weight at tail wheel </t>
  </si>
  <si>
    <t xml:space="preserve">M1 = </t>
  </si>
  <si>
    <t>Inspector name &amp; number</t>
  </si>
  <si>
    <t>x</t>
  </si>
  <si>
    <t xml:space="preserve">15m </t>
  </si>
  <si>
    <t>15m</t>
  </si>
  <si>
    <t>Left Wingtip (15m)</t>
  </si>
  <si>
    <t>Right Wingtip (15m)</t>
  </si>
  <si>
    <t>Empty aircraft (15m)</t>
  </si>
  <si>
    <t>Mass (kg)_x</t>
  </si>
  <si>
    <t>CG (mm)_y</t>
  </si>
  <si>
    <t>Expendable tail ballast</t>
  </si>
  <si>
    <t>Non-expendable tail ballast</t>
  </si>
  <si>
    <t>Formule</t>
  </si>
  <si>
    <t>Left Wingtip 15m</t>
  </si>
  <si>
    <t>Right Wingtip 15m</t>
  </si>
  <si>
    <t>Minimum cockpit weight on placard (kg)</t>
  </si>
  <si>
    <t>Pilot ranges 15m:</t>
  </si>
  <si>
    <t>Non expendable tail tank loading requirements to obtain optimum cg (kg)</t>
  </si>
  <si>
    <t>CGemp</t>
  </si>
  <si>
    <t>Mempty</t>
  </si>
  <si>
    <t>Nose trimming weights requirements to move cg into allowable envelope (kg)</t>
  </si>
  <si>
    <t>2. Fuselage Attitude Reference Position:  1000:18 at top of tail cone</t>
  </si>
  <si>
    <t>Upholstery type</t>
  </si>
  <si>
    <t>Tailwheel type</t>
  </si>
  <si>
    <t>Tailwheel hub</t>
  </si>
  <si>
    <t>Amended Jet System arms and capacities</t>
  </si>
  <si>
    <t>Added new tailtank arms and capacities - Tail Water Ballast Sheet amended</t>
  </si>
  <si>
    <t>Structural limit 15m</t>
  </si>
  <si>
    <t>Structural limit 18m</t>
  </si>
  <si>
    <t>TO mass (kg)</t>
  </si>
  <si>
    <t>Non lifting mass</t>
  </si>
  <si>
    <t>TailLB</t>
  </si>
  <si>
    <t>Tail Lead Ballast (Fixed)</t>
  </si>
  <si>
    <t>Non-Exp full, Fuel Full</t>
  </si>
  <si>
    <t>Non-Exp empty, Fuel empty</t>
  </si>
  <si>
    <t>Non-Exp full, Fuel empty</t>
  </si>
  <si>
    <t>Non-Exp empty, Fuel Full</t>
  </si>
  <si>
    <t>Pilot ranges</t>
  </si>
  <si>
    <t>Non-Exp empty, fuel empty</t>
  </si>
  <si>
    <t>Added placard info for cockpit weights with exp tank</t>
  </si>
  <si>
    <t>lbs</t>
  </si>
  <si>
    <t>CG Data 15m</t>
  </si>
  <si>
    <t>CG Data 18m</t>
  </si>
  <si>
    <t>a</t>
  </si>
  <si>
    <t>b</t>
  </si>
  <si>
    <t>c</t>
  </si>
  <si>
    <t>Weighing date</t>
  </si>
  <si>
    <t xml:space="preserve"> </t>
  </si>
  <si>
    <t>C.G. Weighing and Measuring</t>
  </si>
  <si>
    <t>Format modified</t>
  </si>
  <si>
    <t>Highest allowable take off mass:</t>
  </si>
  <si>
    <t>7. Remove tail battery (if applicable)</t>
  </si>
  <si>
    <t>8. Close canopy</t>
  </si>
  <si>
    <t>9. Position sailplane on scales in flight attitude (1000:18)</t>
  </si>
  <si>
    <t>10. Measure the distance "x"</t>
  </si>
  <si>
    <t>11. Measure weights M1 and M2</t>
  </si>
  <si>
    <t>Permanent balast in fin (kg)</t>
  </si>
  <si>
    <t>Span Variants</t>
  </si>
  <si>
    <t>Span ID</t>
  </si>
  <si>
    <t>15m only</t>
  </si>
  <si>
    <t>18m only</t>
  </si>
  <si>
    <t>Span ID of this SN</t>
  </si>
  <si>
    <t>15m&amp;18m</t>
  </si>
  <si>
    <t>Spelling corrected from higest to highest, formula corrected W&amp;B Report Metric G52</t>
  </si>
  <si>
    <t>Iferror functions added in field to allow single span entries</t>
  </si>
  <si>
    <t>Iferror functions added in Report Imperial to allow single span entries. Corrected conversion multiplication from 2.2 to 2.205</t>
  </si>
  <si>
    <t>Descriptions and footnote added on W&amp;B report sheets explaining difference in weighed data</t>
  </si>
  <si>
    <t>Cell reference of 15m M1 and M2 in W&amp;B Report Metric corrected to Entry Form! G44</t>
  </si>
  <si>
    <t>Recommended</t>
  </si>
  <si>
    <t>Added Caution Zone. Added Tolerance between weighed data and added reference to revision change</t>
  </si>
  <si>
    <t>JSMD 3</t>
  </si>
  <si>
    <t xml:space="preserve">Rev: </t>
  </si>
  <si>
    <t>Corrected reference values of min cockpit weight calculations - 18m configuration</t>
  </si>
  <si>
    <t>Corrected reference values of min cockpit weight calculations - 15+18.  Formula incorrectly used fwd cg ref for calc fuel in top tank instead of rear cg position, Corrected Non lifting mass iaw Appendix to MD10-STA-57-001</t>
  </si>
  <si>
    <t>X cg empty</t>
  </si>
  <si>
    <t>Mmin 15m</t>
  </si>
  <si>
    <t>Mmin + fuel</t>
  </si>
  <si>
    <t>Fuel rear</t>
  </si>
  <si>
    <t>Fuel top</t>
  </si>
  <si>
    <t>Min min =fuel</t>
  </si>
  <si>
    <t>Simpflied formula of min cockpit weight with non-exp tank full.  Don’t think the result of the formula was affected.</t>
  </si>
  <si>
    <t>B. Center of Gravity measurement setup for JS3 RES</t>
  </si>
  <si>
    <t>Batt1</t>
  </si>
  <si>
    <t>Batt2</t>
  </si>
  <si>
    <t>JS3 RES first version W&amp;B</t>
  </si>
  <si>
    <t>Calc of main water arm</t>
  </si>
  <si>
    <t>Pylon Actuator</t>
  </si>
  <si>
    <t>Pylon</t>
  </si>
  <si>
    <t>Pylon extended - empty</t>
  </si>
  <si>
    <t>RES</t>
  </si>
  <si>
    <t>Pylon Prop and motor retracted</t>
  </si>
  <si>
    <t>Pylon Prop and motor extended</t>
  </si>
  <si>
    <t>RES Battery 2</t>
  </si>
  <si>
    <t>pilot</t>
  </si>
  <si>
    <t>Part Name</t>
  </si>
  <si>
    <t>RES Battery Box Right</t>
  </si>
  <si>
    <t>RES Battery Box Left</t>
  </si>
  <si>
    <t>Propeller</t>
  </si>
  <si>
    <t>Emrax 208</t>
  </si>
  <si>
    <t>RES Rod Pylon</t>
  </si>
  <si>
    <t>RES BC Actuator</t>
  </si>
  <si>
    <t>Main Doors</t>
  </si>
  <si>
    <t>Front Doors</t>
  </si>
  <si>
    <t>RES BC Table</t>
  </si>
  <si>
    <t>Pylon Actuator Bracket</t>
  </si>
  <si>
    <t>Battery Securing Component</t>
  </si>
  <si>
    <t>IMD Isolater</t>
  </si>
  <si>
    <t>RES BC Bracket</t>
  </si>
  <si>
    <t>Arm ext</t>
  </si>
  <si>
    <t>Arm retr</t>
  </si>
  <si>
    <t>M-Retr</t>
  </si>
  <si>
    <t>M-Ext</t>
  </si>
  <si>
    <t>15m version data corrected</t>
  </si>
  <si>
    <t>18m version updated with moments and weights of RES system</t>
  </si>
  <si>
    <t>NoseW</t>
  </si>
  <si>
    <t>Nose weights in front of pedals</t>
  </si>
  <si>
    <t>RES Batteries installed</t>
  </si>
  <si>
    <t>Change battery selection to 0,1,2</t>
  </si>
  <si>
    <t>Non lifting</t>
  </si>
  <si>
    <t>Empty</t>
  </si>
  <si>
    <t>20l Each wing</t>
  </si>
  <si>
    <t>40l each wing</t>
  </si>
  <si>
    <t>66l each wing</t>
  </si>
  <si>
    <t>M1 (kg)</t>
  </si>
  <si>
    <t>M2 (kg)</t>
  </si>
  <si>
    <t>Water in main tank</t>
  </si>
  <si>
    <t>y</t>
  </si>
  <si>
    <t>x2</t>
  </si>
  <si>
    <t>M_WaterMain</t>
  </si>
  <si>
    <t>R_WaterMain</t>
  </si>
  <si>
    <t>W_Tail</t>
  </si>
  <si>
    <t>RES battery affect on Pilot weight</t>
  </si>
  <si>
    <t>1 battery</t>
  </si>
  <si>
    <t>2 batteries</t>
  </si>
  <si>
    <t>RES system (excl batteries)</t>
  </si>
  <si>
    <t>12V Main Battery 1</t>
  </si>
  <si>
    <t>12V Main Battery 2</t>
  </si>
  <si>
    <t xml:space="preserve"> mm</t>
  </si>
  <si>
    <t xml:space="preserve"> kg</t>
  </si>
  <si>
    <t xml:space="preserve"> kg.m</t>
  </si>
  <si>
    <t>Non-expendable tank</t>
  </si>
  <si>
    <t>HV Batteries</t>
  </si>
  <si>
    <t>Full (8.9 l)</t>
  </si>
  <si>
    <t>Max allowable mass of non lifting parts:</t>
  </si>
  <si>
    <t>NLM</t>
  </si>
  <si>
    <t>When any variation occurs between rigged data and individual component mass, rigged data takes presedence.</t>
  </si>
  <si>
    <t>Pilot ranges 15m</t>
  </si>
  <si>
    <t>Pilot ranges 18m</t>
  </si>
  <si>
    <t>Weighing done with all equipment installed incl avionics i.a.w. equipment list.</t>
  </si>
  <si>
    <t>-</t>
  </si>
  <si>
    <t>Equipment installed</t>
  </si>
  <si>
    <t>Uys for FT</t>
  </si>
  <si>
    <t>C1. Acceptance data (15m)</t>
  </si>
  <si>
    <t>C2. Acceptance data (18m)</t>
  </si>
  <si>
    <t>Formule 1</t>
  </si>
  <si>
    <t>Formule 2</t>
  </si>
  <si>
    <t>Pilot empty (fuel tanks empty)</t>
  </si>
  <si>
    <t>Pilot min (fuel tanks full)</t>
  </si>
  <si>
    <t>M1+M2</t>
  </si>
  <si>
    <t>Error^2</t>
  </si>
  <si>
    <t>Aft limit</t>
  </si>
  <si>
    <t>Pilot arm</t>
  </si>
  <si>
    <t>Fuel top arm</t>
  </si>
  <si>
    <t>Fuel bottom arm</t>
  </si>
  <si>
    <t>Fuel top full mass</t>
  </si>
  <si>
    <t>Fuel bottom full mass</t>
  </si>
  <si>
    <t>Tailtank arm</t>
  </si>
  <si>
    <t>(empty tanks)</t>
  </si>
  <si>
    <t>Formula 1</t>
  </si>
  <si>
    <t>Formula 2</t>
  </si>
  <si>
    <t>Formula 3 (full tanks)</t>
  </si>
  <si>
    <t>CGemp (calc)</t>
  </si>
  <si>
    <r>
      <rPr>
        <b/>
        <sz val="12"/>
        <rFont val="Arial"/>
        <family val="2"/>
      </rPr>
      <t>Weight and Balance JS3 / JS MD 3</t>
    </r>
    <r>
      <rPr>
        <b/>
        <sz val="14"/>
        <rFont val="Arial"/>
        <family val="2"/>
      </rPr>
      <t xml:space="preserve"> RES</t>
    </r>
  </si>
  <si>
    <t>Added JS3 RES to headings; changed water main to 132l</t>
  </si>
  <si>
    <t>"Procedure to Determine Centre of Gravity of the JSx" )</t>
  </si>
  <si>
    <t>Controller+water cooler (rear)</t>
  </si>
  <si>
    <t>Controller air cooled (front)</t>
  </si>
  <si>
    <t>Controller position (rear = 1, front = 0)</t>
  </si>
  <si>
    <t>HV cable (cooler rear)</t>
  </si>
  <si>
    <t>HV cable (cooler front</t>
  </si>
  <si>
    <t>Added option in config to select between cooler front or cooler rear.</t>
  </si>
  <si>
    <t>DC-DC converter</t>
  </si>
  <si>
    <t>M1 and M2 updated with RES, Battery arm updated. Pylon ext/retract weight and arm updated</t>
  </si>
  <si>
    <t>Formule 1: No batteries</t>
  </si>
  <si>
    <t>Formula 1: with 2 HV batteries</t>
  </si>
  <si>
    <t>B</t>
  </si>
  <si>
    <t>Xbatt</t>
  </si>
  <si>
    <t>A</t>
  </si>
  <si>
    <t>mpilot - A - B</t>
  </si>
  <si>
    <t>mbatt</t>
  </si>
  <si>
    <t>Minimum cockpit weight on placard (kg)
for number of HV batteries installed</t>
  </si>
  <si>
    <t>Nose ballast info updated. Nose ballast graph added</t>
  </si>
  <si>
    <t>Document Number: AP.JS-094</t>
  </si>
  <si>
    <t>Forward limit</t>
  </si>
  <si>
    <t>Rear limit</t>
  </si>
  <si>
    <t>Aft limit (15m)</t>
  </si>
  <si>
    <r>
      <t>M</t>
    </r>
    <r>
      <rPr>
        <vertAlign val="subscript"/>
        <sz val="11"/>
        <color indexed="8"/>
        <rFont val="Arial"/>
        <family val="2"/>
      </rPr>
      <t>empty</t>
    </r>
  </si>
  <si>
    <r>
      <t>X</t>
    </r>
    <r>
      <rPr>
        <vertAlign val="subscript"/>
        <sz val="11"/>
        <color indexed="8"/>
        <rFont val="Arial"/>
        <family val="2"/>
      </rPr>
      <t>CG empty</t>
    </r>
  </si>
  <si>
    <t>Aft limit (18m)</t>
  </si>
  <si>
    <t>Forward Limit (15m)</t>
  </si>
  <si>
    <t>Forward Limit (18m)</t>
  </si>
  <si>
    <t>Min Cockpit load</t>
  </si>
  <si>
    <t>Max Cockpit load</t>
  </si>
  <si>
    <t>Pilots CG</t>
  </si>
  <si>
    <t>Flight Manual Section 2.7 Centre of Gravity Table 2.7-2</t>
  </si>
  <si>
    <t>Empty mass</t>
  </si>
  <si>
    <t>Empty Centre of Gravity range</t>
  </si>
  <si>
    <r>
      <t>Forward limit</t>
    </r>
    <r>
      <rPr>
        <sz val="10"/>
        <rFont val="Arial"/>
        <family val="2"/>
      </rPr>
      <t xml:space="preserve"> </t>
    </r>
    <r>
      <rPr>
        <sz val="10"/>
        <rFont val="Arial Narrow"/>
        <family val="2"/>
      </rPr>
      <t>to allow a maximum cockpit load  of 115kg (253 lbs)</t>
    </r>
  </si>
  <si>
    <r>
      <t>Rear limit</t>
    </r>
    <r>
      <rPr>
        <sz val="10"/>
        <rFont val="Arial"/>
        <family val="2"/>
      </rPr>
      <t xml:space="preserve"> </t>
    </r>
    <r>
      <rPr>
        <sz val="10"/>
        <rFont val="Arial Narrow"/>
        <family val="2"/>
      </rPr>
      <t>to  allow  a minimum cockpit load  of 70kg (154 lbs)</t>
    </r>
  </si>
  <si>
    <t>15 m</t>
  </si>
  <si>
    <t>18 m</t>
  </si>
  <si>
    <t>Total M</t>
  </si>
  <si>
    <t>Moment</t>
  </si>
  <si>
    <t>Pilot Moment (Max Cockpit Load)</t>
  </si>
  <si>
    <t>Moment (ForwardLimit)</t>
  </si>
  <si>
    <t>Moment Delta</t>
  </si>
  <si>
    <t>WingM</t>
  </si>
  <si>
    <t>Water ballast main (132l)</t>
  </si>
  <si>
    <t>Water ballast main (156l)</t>
  </si>
  <si>
    <t>Tail3</t>
  </si>
  <si>
    <t>Non-expendable tail tank (top)</t>
  </si>
  <si>
    <t>Non-expendable tail tank (bottom)</t>
  </si>
  <si>
    <t>Both Main Wing Ballast options added. 132 l and 156 l
Add split arm values for non-exp tail tank
Max mass allowed in baggage compartment changed to 1kg</t>
  </si>
  <si>
    <t>Metric</t>
  </si>
  <si>
    <t>R_WaterMain_132</t>
  </si>
  <si>
    <t>R_WaterMain_156</t>
  </si>
  <si>
    <t>W_Tail_132</t>
  </si>
  <si>
    <t>W_Tail_156</t>
  </si>
  <si>
    <t>US Gallons</t>
  </si>
  <si>
    <t>Extended Centre of Gravity range for manual
Water filling in Main tank vs Fin Tank corrected to 5.8 l max and 156 L wing tank capacity added</t>
  </si>
  <si>
    <t>Removed Built Year. Corrected Pylon extended 15m data point. Corrected caution zone graphics</t>
  </si>
  <si>
    <t>575 kg Limit</t>
  </si>
  <si>
    <t>Expendable water ballast dumped</t>
  </si>
  <si>
    <t xml:space="preserve">With water ballast </t>
  </si>
  <si>
    <t>Aircraft Serial Number</t>
  </si>
  <si>
    <t>Aircraft Registration Number</t>
  </si>
  <si>
    <t>Leather</t>
  </si>
  <si>
    <t>No</t>
  </si>
  <si>
    <t>Aluminium</t>
  </si>
  <si>
    <r>
      <t>Wing loading (kg/m</t>
    </r>
    <r>
      <rPr>
        <b/>
        <vertAlign val="superscript"/>
        <sz val="10"/>
        <rFont val="Arial"/>
        <family val="2"/>
      </rPr>
      <t>2</t>
    </r>
    <r>
      <rPr>
        <b/>
        <sz val="10"/>
        <rFont val="Arial"/>
        <family val="2"/>
      </rPr>
      <t>)</t>
    </r>
  </si>
  <si>
    <t>Total non-lifting weight</t>
  </si>
  <si>
    <t>Pylon extended - with water ballast</t>
  </si>
  <si>
    <t>Arm
(mm)</t>
  </si>
  <si>
    <t>NLW
(kg)</t>
  </si>
  <si>
    <t>Corrected cell E6 of the 18m CG Envelope sheet - changed cell from the 603mm fixed value so that it correctly applies the measured Arm value from cell D6 of the Config sheet.
Corrected cells D16 and E16 on the 15m CG Envelope sheet in order to allow 12kg of nose weights.
Corrected calculation of 18m left wing weight in cell M26 of the W&amp;B Imperial Report - in order to display value in pounds instead of kilograms.
Entry Form header cell I2 modified to retrieve the Revision Number from the Revision History sheet.
Corrected spelling of "balast" in cell B27 of 15m CG Envelope Sheet and cell B29 of 18m CG Envelope Sheet.</t>
  </si>
  <si>
    <t>yes</t>
  </si>
  <si>
    <t>Retractable</t>
  </si>
  <si>
    <t>LifePo</t>
  </si>
  <si>
    <t>CofG Requested:</t>
  </si>
  <si>
    <t>DATE:</t>
  </si>
  <si>
    <t>SN</t>
  </si>
  <si>
    <t>Add Aircraft info to Envelope</t>
  </si>
  <si>
    <t>Corrected Conditional Formatting</t>
  </si>
  <si>
    <t>Cockpit</t>
  </si>
  <si>
    <t>Cockpit Ballast (removable)</t>
  </si>
  <si>
    <t>Corrections Made according to MD11-AFM-00-001 Issue 01. Mtail3 moment arm corrected to 4510. Mbatt1&amp;2 rounded to 24.9 as in manual.Cockpit ballast description and Moment arm corrected to manual values.
Added Note to dual battery out of limits - only applicable to self-launch</t>
  </si>
  <si>
    <t>NO</t>
  </si>
  <si>
    <t>Non-lifting changed 340kg
Cell for a value unlocked to allow override</t>
  </si>
  <si>
    <t>a* =</t>
  </si>
  <si>
    <t>b* =</t>
  </si>
  <si>
    <t>Min and max cockpit values rounded off/up</t>
  </si>
  <si>
    <t>AVG arm value</t>
  </si>
  <si>
    <t>Corrected Min Cocpit calculation for non-exp tailtank full
Corrected top and bottom non-expendable tailtank capacity values
Correct arm value for bottom tanke from 4510 to 4495 (as in Jet manual)
Added average arm value for top and bottom non-expendable tail tanks</t>
  </si>
  <si>
    <t xml:space="preserve">Non expendable tail tank loading requirements to obtain optimum cg (kg) </t>
  </si>
  <si>
    <t>D-KPWZ</t>
  </si>
  <si>
    <t>3.MD132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</si>
</sst>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0;\-"/>
  </numFmts>
  <fonts count="35"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sz val="8"/>
      <name val="Arial"/>
      <family val="2"/>
    </font>
    <font>
      <i/>
      <sz val="10"/>
      <name val="Arial"/>
      <family val="2"/>
    </font>
    <font>
      <b/>
      <sz val="12"/>
      <name val="Arial"/>
      <family val="2"/>
    </font>
    <font>
      <b/>
      <i/>
      <sz val="10"/>
      <name val="Arial"/>
      <family val="2"/>
    </font>
    <font>
      <sz val="9"/>
      <name val="Arial"/>
      <family val="2"/>
    </font>
    <font>
      <sz val="12"/>
      <name val="Arial"/>
      <family val="2"/>
    </font>
    <font>
      <sz val="11"/>
      <name val="Arial"/>
      <family val="2"/>
    </font>
    <font>
      <b/>
      <sz val="11"/>
      <name val="Arial"/>
      <family val="2"/>
    </font>
    <font>
      <b/>
      <sz val="8"/>
      <name val="Arial"/>
      <family val="2"/>
    </font>
    <font>
      <b/>
      <sz val="9"/>
      <name val="Arial"/>
      <family val="2"/>
    </font>
    <font>
      <b/>
      <sz val="18"/>
      <name val="Arial Narrow"/>
      <family val="2"/>
    </font>
    <font>
      <b/>
      <sz val="14"/>
      <name val="Arial"/>
      <family val="2"/>
    </font>
    <font>
      <sz val="9"/>
      <color indexed="81"/>
      <name val="Tahoma"/>
      <family val="2"/>
    </font>
    <font>
      <b/>
      <sz val="9"/>
      <color indexed="81"/>
      <name val="Tahoma"/>
      <family val="2"/>
    </font>
    <font>
      <sz val="10"/>
      <name val="Arial Narrow"/>
      <family val="2"/>
    </font>
    <font>
      <i/>
      <sz val="10"/>
      <name val="Arial Narrow"/>
      <family val="2"/>
    </font>
    <font>
      <sz val="11"/>
      <color theme="1"/>
      <name val="Calibri"/>
      <family val="2"/>
      <scheme val="minor"/>
    </font>
    <font>
      <b/>
      <sz val="15"/>
      <color theme="3"/>
      <name val="Calibri"/>
      <family val="2"/>
      <scheme val="minor"/>
    </font>
    <font>
      <sz val="11"/>
      <color theme="1"/>
      <name val="Arial"/>
      <family val="2"/>
    </font>
    <font>
      <b/>
      <sz val="11"/>
      <color theme="1"/>
      <name val="Calibri"/>
      <family val="2"/>
      <scheme val="minor"/>
    </font>
    <font>
      <b/>
      <sz val="10"/>
      <color theme="4" tint="-0.249977111117893"/>
      <name val="Arial"/>
      <family val="2"/>
    </font>
    <font>
      <b/>
      <sz val="10"/>
      <color theme="1"/>
      <name val="Arial"/>
      <family val="2"/>
    </font>
    <font>
      <b/>
      <sz val="10"/>
      <color rgb="FF00B050"/>
      <name val="Arial"/>
      <family val="2"/>
    </font>
    <font>
      <sz val="10"/>
      <color theme="1"/>
      <name val="Arial"/>
      <family val="2"/>
    </font>
    <font>
      <sz val="10"/>
      <color theme="7" tint="0.39997558519241921"/>
      <name val="Arial"/>
      <family val="2"/>
    </font>
    <font>
      <sz val="10"/>
      <color rgb="FF99FFCC"/>
      <name val="Arial"/>
      <family val="2"/>
    </font>
    <font>
      <b/>
      <sz val="11"/>
      <color theme="1"/>
      <name val="Arial"/>
      <family val="2"/>
    </font>
    <font>
      <vertAlign val="subscript"/>
      <sz val="11"/>
      <color indexed="8"/>
      <name val="Arial"/>
      <family val="2"/>
    </font>
    <font>
      <b/>
      <sz val="10"/>
      <color theme="6" tint="-0.249977111117893"/>
      <name val="Arial"/>
      <family val="2"/>
    </font>
    <font>
      <b/>
      <vertAlign val="superscript"/>
      <sz val="10"/>
      <name val="Arial"/>
      <family val="2"/>
    </font>
  </fonts>
  <fills count="25">
    <fill>
      <patternFill patternType="none"/>
    </fill>
    <fill>
      <patternFill patternType="gray125"/>
    </fill>
    <fill>
      <gradientFill degree="90">
        <stop position="0">
          <color theme="0"/>
        </stop>
        <stop position="1">
          <color rgb="FFFFFFCC"/>
        </stop>
      </gradientFill>
    </fill>
    <fill>
      <patternFill patternType="solid">
        <fgColor theme="0" tint="-0.149998474074526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2" tint="-0.249977111117893"/>
        <bgColor indexed="64"/>
      </patternFill>
    </fill>
    <fill>
      <patternFill patternType="solid">
        <fgColor theme="2"/>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99FFCC"/>
        <bgColor indexed="64"/>
      </patternFill>
    </fill>
    <fill>
      <patternFill patternType="solid">
        <fgColor rgb="FFBFBFBF"/>
        <bgColor indexed="64"/>
      </patternFill>
    </fill>
    <fill>
      <patternFill patternType="solid">
        <fgColor rgb="FFFFFFFF"/>
        <bgColor indexed="64"/>
      </patternFill>
    </fill>
    <fill>
      <patternFill patternType="solid">
        <fgColor rgb="FFF2F2F2"/>
        <bgColor indexed="64"/>
      </patternFill>
    </fill>
  </fills>
  <borders count="123">
    <border>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hair">
        <color indexed="64"/>
      </top>
      <bottom style="hair">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style="medium">
        <color indexed="64"/>
      </right>
      <top style="medium">
        <color indexed="64"/>
      </top>
      <bottom/>
      <diagonal/>
    </border>
    <border>
      <left/>
      <right style="thin">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ck">
        <color theme="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bottom style="thick">
        <color rgb="FF000000"/>
      </bottom>
      <diagonal/>
    </border>
    <border>
      <left/>
      <right/>
      <top/>
      <bottom style="thick">
        <color rgb="FF000000"/>
      </bottom>
      <diagonal/>
    </border>
    <border>
      <left style="thick">
        <color rgb="FF000000"/>
      </left>
      <right style="thin">
        <color indexed="64"/>
      </right>
      <top style="thick">
        <color rgb="FF000000"/>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thick">
        <color rgb="FF000000"/>
      </right>
      <top style="medium">
        <color indexed="64"/>
      </top>
      <bottom style="medium">
        <color indexed="64"/>
      </bottom>
      <diagonal/>
    </border>
    <border>
      <left style="thin">
        <color theme="0" tint="-0.14999847407452621"/>
      </left>
      <right style="thin">
        <color theme="0" tint="-0.14999847407452621"/>
      </right>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8">
    <xf numFmtId="0" fontId="0" fillId="0" borderId="0"/>
    <xf numFmtId="0" fontId="22" fillId="0" borderId="94" applyNumberFormat="0" applyFill="0" applyAlignment="0" applyProtection="0"/>
    <xf numFmtId="0" fontId="4" fillId="0" borderId="0"/>
    <xf numFmtId="0" fontId="21" fillId="0" borderId="0"/>
    <xf numFmtId="0" fontId="4" fillId="0" borderId="0"/>
    <xf numFmtId="0" fontId="23" fillId="0" borderId="0"/>
    <xf numFmtId="0" fontId="2" fillId="0" borderId="0"/>
    <xf numFmtId="0" fontId="1" fillId="0" borderId="0"/>
  </cellStyleXfs>
  <cellXfs count="856">
    <xf numFmtId="0" fontId="0" fillId="0" borderId="0" xfId="0"/>
    <xf numFmtId="0" fontId="0" fillId="0" borderId="0" xfId="0" applyAlignment="1">
      <alignment horizontal="center"/>
    </xf>
    <xf numFmtId="0" fontId="0" fillId="0" borderId="1" xfId="0" applyBorder="1"/>
    <xf numFmtId="0" fontId="0" fillId="0" borderId="2" xfId="0" applyBorder="1"/>
    <xf numFmtId="0" fontId="3" fillId="0" borderId="0" xfId="0" applyFont="1"/>
    <xf numFmtId="0" fontId="0" fillId="0" borderId="0" xfId="0" applyAlignment="1">
      <alignment horizontal="center" vertical="center"/>
    </xf>
    <xf numFmtId="0" fontId="3" fillId="0" borderId="0" xfId="0" applyFont="1" applyAlignment="1">
      <alignment horizontal="center"/>
    </xf>
    <xf numFmtId="164" fontId="0" fillId="0" borderId="0" xfId="0" applyNumberFormat="1"/>
    <xf numFmtId="164" fontId="0" fillId="2" borderId="3" xfId="0" applyNumberFormat="1" applyFill="1" applyBorder="1" applyAlignment="1" applyProtection="1">
      <alignment horizontal="right" indent="1"/>
      <protection locked="0"/>
    </xf>
    <xf numFmtId="164" fontId="3" fillId="0" borderId="9" xfId="0" applyNumberFormat="1" applyFont="1" applyBorder="1" applyAlignment="1">
      <alignment horizontal="center" vertical="center"/>
    </xf>
    <xf numFmtId="164" fontId="0" fillId="2" borderId="10" xfId="0" applyNumberFormat="1" applyFill="1" applyBorder="1" applyAlignment="1" applyProtection="1">
      <alignment horizontal="right" indent="1"/>
      <protection locked="0"/>
    </xf>
    <xf numFmtId="0" fontId="4" fillId="0" borderId="1" xfId="0" applyFont="1" applyBorder="1"/>
    <xf numFmtId="0" fontId="4" fillId="0" borderId="0" xfId="0" applyFont="1"/>
    <xf numFmtId="0" fontId="4" fillId="0" borderId="0" xfId="0" applyFont="1" applyAlignment="1">
      <alignment horizontal="center"/>
    </xf>
    <xf numFmtId="164" fontId="0" fillId="0" borderId="1" xfId="0" applyNumberFormat="1" applyBorder="1"/>
    <xf numFmtId="164" fontId="0" fillId="0" borderId="13" xfId="0" applyNumberFormat="1" applyBorder="1"/>
    <xf numFmtId="0" fontId="3" fillId="0" borderId="0" xfId="0" applyFont="1" applyAlignment="1">
      <alignment horizontal="center" vertical="center"/>
    </xf>
    <xf numFmtId="0" fontId="0" fillId="0" borderId="2" xfId="0" applyBorder="1" applyAlignment="1">
      <alignment horizontal="center" vertical="center"/>
    </xf>
    <xf numFmtId="0" fontId="0" fillId="5" borderId="0" xfId="0" applyFill="1" applyAlignment="1">
      <alignment horizontal="center" vertical="center"/>
    </xf>
    <xf numFmtId="0" fontId="3" fillId="0" borderId="2" xfId="0" applyFont="1" applyBorder="1" applyAlignment="1">
      <alignment horizontal="center" vertical="center"/>
    </xf>
    <xf numFmtId="0" fontId="0" fillId="6" borderId="14" xfId="0" applyFill="1" applyBorder="1"/>
    <xf numFmtId="0" fontId="0" fillId="6" borderId="15" xfId="0" applyFill="1" applyBorder="1"/>
    <xf numFmtId="0" fontId="0" fillId="6" borderId="16" xfId="0" applyFill="1" applyBorder="1"/>
    <xf numFmtId="0" fontId="0" fillId="6" borderId="1" xfId="0" applyFill="1" applyBorder="1"/>
    <xf numFmtId="0" fontId="0" fillId="6" borderId="0" xfId="0" applyFill="1"/>
    <xf numFmtId="0" fontId="0" fillId="6" borderId="2" xfId="0" applyFill="1" applyBorder="1"/>
    <xf numFmtId="0" fontId="0" fillId="6" borderId="0" xfId="0" applyFill="1" applyAlignment="1">
      <alignment horizontal="center" vertical="center"/>
    </xf>
    <xf numFmtId="0" fontId="5" fillId="6" borderId="17" xfId="0" applyFont="1" applyFill="1" applyBorder="1"/>
    <xf numFmtId="0" fontId="7" fillId="6" borderId="14" xfId="0" applyFont="1" applyFill="1" applyBorder="1"/>
    <xf numFmtId="0" fontId="10" fillId="6" borderId="15" xfId="0" applyFont="1" applyFill="1" applyBorder="1"/>
    <xf numFmtId="0" fontId="5" fillId="6" borderId="15" xfId="0" applyFont="1" applyFill="1" applyBorder="1" applyAlignment="1">
      <alignment vertical="center"/>
    </xf>
    <xf numFmtId="0" fontId="0" fillId="6" borderId="13" xfId="0" applyFill="1" applyBorder="1"/>
    <xf numFmtId="0" fontId="0" fillId="6" borderId="18" xfId="0" applyFill="1" applyBorder="1"/>
    <xf numFmtId="0" fontId="5" fillId="6" borderId="18" xfId="0" applyFont="1" applyFill="1" applyBorder="1" applyAlignment="1">
      <alignment vertical="center"/>
    </xf>
    <xf numFmtId="0" fontId="0" fillId="6" borderId="17" xfId="0" applyFill="1" applyBorder="1"/>
    <xf numFmtId="0" fontId="5" fillId="6" borderId="2" xfId="0" applyFont="1" applyFill="1" applyBorder="1"/>
    <xf numFmtId="0" fontId="7" fillId="6" borderId="1" xfId="0" applyFont="1" applyFill="1" applyBorder="1"/>
    <xf numFmtId="0" fontId="7" fillId="6" borderId="0" xfId="0" applyFont="1" applyFill="1"/>
    <xf numFmtId="0" fontId="11" fillId="6" borderId="0" xfId="0" applyFont="1" applyFill="1"/>
    <xf numFmtId="0" fontId="0" fillId="6" borderId="0" xfId="0" applyFill="1" applyAlignment="1">
      <alignment vertical="center"/>
    </xf>
    <xf numFmtId="0" fontId="7" fillId="6" borderId="15" xfId="0" applyFont="1" applyFill="1" applyBorder="1"/>
    <xf numFmtId="0" fontId="5" fillId="6" borderId="18" xfId="0" applyFont="1" applyFill="1" applyBorder="1"/>
    <xf numFmtId="0" fontId="3" fillId="6" borderId="17" xfId="0" applyFont="1" applyFill="1" applyBorder="1" applyAlignment="1">
      <alignment horizontal="center"/>
    </xf>
    <xf numFmtId="0" fontId="3" fillId="6" borderId="2" xfId="0" applyFont="1" applyFill="1" applyBorder="1" applyAlignment="1">
      <alignment horizontal="center"/>
    </xf>
    <xf numFmtId="1" fontId="3" fillId="6" borderId="0" xfId="0" applyNumberFormat="1" applyFont="1" applyFill="1" applyAlignment="1">
      <alignment horizontal="center" vertical="center"/>
    </xf>
    <xf numFmtId="0" fontId="5" fillId="6" borderId="0" xfId="0" applyFont="1" applyFill="1"/>
    <xf numFmtId="0" fontId="3" fillId="6" borderId="0" xfId="0" applyFont="1" applyFill="1"/>
    <xf numFmtId="0" fontId="3" fillId="0" borderId="9" xfId="0" applyFont="1" applyBorder="1" applyAlignment="1">
      <alignment horizontal="center" vertical="center"/>
    </xf>
    <xf numFmtId="1" fontId="3" fillId="6" borderId="18" xfId="0" applyNumberFormat="1" applyFont="1" applyFill="1" applyBorder="1" applyAlignment="1">
      <alignment horizontal="center" vertical="center"/>
    </xf>
    <xf numFmtId="0" fontId="3" fillId="7" borderId="21" xfId="0" applyFont="1" applyFill="1" applyBorder="1" applyAlignment="1">
      <alignment horizontal="center" vertical="center"/>
    </xf>
    <xf numFmtId="164" fontId="3" fillId="6" borderId="0" xfId="0" applyNumberFormat="1" applyFont="1" applyFill="1" applyAlignment="1">
      <alignment horizontal="center" vertical="center"/>
    </xf>
    <xf numFmtId="164" fontId="3" fillId="6" borderId="18" xfId="0" applyNumberFormat="1" applyFont="1" applyFill="1" applyBorder="1" applyAlignment="1">
      <alignment horizontal="center" vertical="center"/>
    </xf>
    <xf numFmtId="0" fontId="5" fillId="6" borderId="0" xfId="0" applyFont="1" applyFill="1" applyAlignment="1">
      <alignment vertical="center"/>
    </xf>
    <xf numFmtId="0" fontId="9" fillId="6" borderId="0" xfId="0" applyFont="1" applyFill="1"/>
    <xf numFmtId="0" fontId="9" fillId="6" borderId="2" xfId="0" applyFont="1" applyFill="1" applyBorder="1"/>
    <xf numFmtId="0" fontId="3" fillId="6" borderId="0" xfId="0" applyFont="1" applyFill="1" applyAlignment="1">
      <alignment horizontal="center"/>
    </xf>
    <xf numFmtId="164" fontId="0" fillId="6" borderId="0" xfId="0" applyNumberFormat="1" applyFill="1" applyAlignment="1">
      <alignment horizontal="center"/>
    </xf>
    <xf numFmtId="0" fontId="3" fillId="6" borderId="22" xfId="0" applyFont="1" applyFill="1" applyBorder="1" applyAlignment="1">
      <alignment horizontal="center"/>
    </xf>
    <xf numFmtId="0" fontId="3" fillId="6" borderId="23" xfId="0" applyFont="1" applyFill="1" applyBorder="1" applyAlignment="1">
      <alignment horizontal="center"/>
    </xf>
    <xf numFmtId="0" fontId="3" fillId="6" borderId="24" xfId="0" applyFont="1" applyFill="1" applyBorder="1" applyAlignment="1">
      <alignment horizontal="center"/>
    </xf>
    <xf numFmtId="0" fontId="3" fillId="6" borderId="25" xfId="0" applyFont="1" applyFill="1" applyBorder="1" applyAlignment="1">
      <alignment horizontal="center"/>
    </xf>
    <xf numFmtId="0" fontId="11" fillId="6" borderId="1" xfId="0" applyFont="1" applyFill="1" applyBorder="1" applyAlignment="1">
      <alignment vertical="center"/>
    </xf>
    <xf numFmtId="0" fontId="11" fillId="6" borderId="0" xfId="0" applyFont="1" applyFill="1" applyAlignment="1">
      <alignment vertical="center"/>
    </xf>
    <xf numFmtId="0" fontId="4" fillId="6" borderId="0" xfId="0" applyFont="1" applyFill="1" applyAlignment="1">
      <alignment vertical="center"/>
    </xf>
    <xf numFmtId="1" fontId="3" fillId="6" borderId="15" xfId="0" applyNumberFormat="1" applyFont="1" applyFill="1" applyBorder="1" applyAlignment="1">
      <alignment horizontal="center" vertical="center"/>
    </xf>
    <xf numFmtId="0" fontId="3" fillId="6" borderId="16" xfId="0" applyFont="1" applyFill="1" applyBorder="1" applyAlignment="1">
      <alignment horizontal="center"/>
    </xf>
    <xf numFmtId="164" fontId="3" fillId="4" borderId="26" xfId="0" applyNumberFormat="1" applyFont="1" applyFill="1" applyBorder="1" applyAlignment="1">
      <alignment horizontal="right" indent="1"/>
    </xf>
    <xf numFmtId="164" fontId="3" fillId="4" borderId="8" xfId="0" applyNumberFormat="1" applyFont="1" applyFill="1" applyBorder="1" applyAlignment="1">
      <alignment horizontal="right" indent="1"/>
    </xf>
    <xf numFmtId="164" fontId="3" fillId="4" borderId="12" xfId="0" applyNumberFormat="1" applyFont="1" applyFill="1" applyBorder="1" applyAlignment="1">
      <alignment horizontal="right" indent="1"/>
    </xf>
    <xf numFmtId="0" fontId="3" fillId="3" borderId="5" xfId="0" applyFont="1" applyFill="1" applyBorder="1" applyAlignment="1">
      <alignment horizontal="center" vertical="center" wrapText="1"/>
    </xf>
    <xf numFmtId="0" fontId="3" fillId="0" borderId="18" xfId="0" applyFont="1" applyBorder="1" applyAlignment="1">
      <alignment horizont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4" fillId="0" borderId="2" xfId="0" applyFont="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3" fillId="0" borderId="1" xfId="0" applyFont="1" applyBorder="1"/>
    <xf numFmtId="164" fontId="3" fillId="0" borderId="1" xfId="0" applyNumberFormat="1" applyFont="1" applyBorder="1" applyAlignment="1">
      <alignment horizontal="center" vertical="center"/>
    </xf>
    <xf numFmtId="0" fontId="6" fillId="6" borderId="0" xfId="0" applyFont="1" applyFill="1"/>
    <xf numFmtId="164" fontId="6" fillId="6" borderId="0" xfId="0" applyNumberFormat="1" applyFont="1" applyFill="1" applyAlignment="1">
      <alignment horizontal="right" indent="1"/>
    </xf>
    <xf numFmtId="164" fontId="0" fillId="6" borderId="0" xfId="0" applyNumberFormat="1" applyFill="1" applyAlignment="1" applyProtection="1">
      <alignment horizontal="right" indent="1"/>
      <protection locked="0"/>
    </xf>
    <xf numFmtId="164" fontId="4" fillId="6" borderId="0" xfId="0" applyNumberFormat="1" applyFont="1" applyFill="1" applyAlignment="1">
      <alignment horizontal="right" indent="1"/>
    </xf>
    <xf numFmtId="0" fontId="3" fillId="6" borderId="9" xfId="0" applyFont="1" applyFill="1" applyBorder="1" applyAlignment="1">
      <alignment horizontal="center" vertical="center"/>
    </xf>
    <xf numFmtId="164" fontId="3" fillId="6" borderId="9" xfId="0" applyNumberFormat="1" applyFont="1" applyFill="1" applyBorder="1" applyAlignment="1">
      <alignment horizontal="center" vertical="center"/>
    </xf>
    <xf numFmtId="164" fontId="6" fillId="4" borderId="28" xfId="0" applyNumberFormat="1" applyFont="1" applyFill="1" applyBorder="1" applyAlignment="1">
      <alignment horizontal="right"/>
    </xf>
    <xf numFmtId="164" fontId="6" fillId="4" borderId="19" xfId="0" applyNumberFormat="1" applyFont="1" applyFill="1" applyBorder="1" applyAlignment="1">
      <alignment horizontal="left"/>
    </xf>
    <xf numFmtId="164" fontId="6" fillId="4" borderId="29" xfId="0" applyNumberFormat="1" applyFont="1" applyFill="1" applyBorder="1" applyAlignment="1">
      <alignment horizontal="left"/>
    </xf>
    <xf numFmtId="164" fontId="6" fillId="4" borderId="30" xfId="0" applyNumberFormat="1" applyFont="1" applyFill="1" applyBorder="1" applyAlignment="1">
      <alignment horizontal="left"/>
    </xf>
    <xf numFmtId="164" fontId="6" fillId="4" borderId="31" xfId="0" applyNumberFormat="1" applyFont="1" applyFill="1" applyBorder="1" applyAlignment="1">
      <alignment horizontal="right"/>
    </xf>
    <xf numFmtId="0" fontId="3" fillId="0" borderId="2" xfId="0" applyFont="1" applyBorder="1" applyAlignment="1">
      <alignment horizontal="center"/>
    </xf>
    <xf numFmtId="0" fontId="0" fillId="8" borderId="2" xfId="0" applyFill="1" applyBorder="1" applyAlignment="1">
      <alignment horizontal="center" vertical="center"/>
    </xf>
    <xf numFmtId="164" fontId="3" fillId="0" borderId="1" xfId="0" applyNumberFormat="1" applyFont="1" applyBorder="1"/>
    <xf numFmtId="164" fontId="3" fillId="2" borderId="32" xfId="0" applyNumberFormat="1" applyFont="1" applyFill="1" applyBorder="1" applyAlignment="1">
      <alignment horizontal="right" indent="1"/>
    </xf>
    <xf numFmtId="0" fontId="0" fillId="0" borderId="0" xfId="0" applyAlignment="1">
      <alignment vertical="center" wrapText="1"/>
    </xf>
    <xf numFmtId="0" fontId="16" fillId="9" borderId="33" xfId="0" applyFont="1" applyFill="1" applyBorder="1" applyAlignment="1">
      <alignment horizontal="center" vertical="center"/>
    </xf>
    <xf numFmtId="0" fontId="16" fillId="9" borderId="0" xfId="0" applyFont="1" applyFill="1" applyAlignment="1">
      <alignment horizontal="center" vertical="center"/>
    </xf>
    <xf numFmtId="0" fontId="7" fillId="6" borderId="2" xfId="0" applyFont="1" applyFill="1" applyBorder="1"/>
    <xf numFmtId="0" fontId="4" fillId="6" borderId="18" xfId="0" applyFont="1" applyFill="1" applyBorder="1" applyAlignment="1">
      <alignment horizontal="left" vertical="center" wrapText="1"/>
    </xf>
    <xf numFmtId="0" fontId="4" fillId="6" borderId="17" xfId="0" applyFont="1" applyFill="1" applyBorder="1" applyAlignment="1">
      <alignment horizontal="left" vertical="center" wrapText="1"/>
    </xf>
    <xf numFmtId="0" fontId="0" fillId="0" borderId="41" xfId="0" applyBorder="1"/>
    <xf numFmtId="0" fontId="4" fillId="6" borderId="15" xfId="0" applyFont="1" applyFill="1" applyBorder="1"/>
    <xf numFmtId="0" fontId="0" fillId="6" borderId="0" xfId="0" applyFill="1" applyAlignment="1" applyProtection="1">
      <alignment horizontal="center" vertical="center"/>
      <protection locked="0"/>
    </xf>
    <xf numFmtId="0" fontId="3" fillId="6" borderId="1" xfId="0" applyFont="1" applyFill="1" applyBorder="1" applyAlignment="1">
      <alignment horizontal="center" vertical="center"/>
    </xf>
    <xf numFmtId="0" fontId="3" fillId="6" borderId="0" xfId="0" applyFont="1" applyFill="1" applyAlignment="1">
      <alignment horizontal="center" vertical="center"/>
    </xf>
    <xf numFmtId="0" fontId="4" fillId="6" borderId="0" xfId="0" applyFont="1" applyFill="1" applyAlignment="1">
      <alignment horizontal="center" vertical="center" wrapText="1"/>
    </xf>
    <xf numFmtId="0" fontId="4" fillId="6" borderId="2" xfId="0" applyFont="1" applyFill="1" applyBorder="1" applyAlignment="1">
      <alignment horizontal="center" vertical="center" wrapText="1"/>
    </xf>
    <xf numFmtId="0" fontId="0" fillId="6" borderId="0" xfId="0" applyFill="1" applyAlignment="1" applyProtection="1">
      <alignment vertical="center"/>
      <protection locked="0"/>
    </xf>
    <xf numFmtId="0" fontId="0" fillId="6" borderId="39" xfId="0" applyFill="1" applyBorder="1" applyAlignment="1" applyProtection="1">
      <alignment vertical="center"/>
      <protection locked="0"/>
    </xf>
    <xf numFmtId="0" fontId="0" fillId="6" borderId="43" xfId="0" applyFill="1" applyBorder="1" applyAlignment="1" applyProtection="1">
      <alignment vertical="center"/>
      <protection locked="0"/>
    </xf>
    <xf numFmtId="0" fontId="0" fillId="6" borderId="2" xfId="0" applyFill="1" applyBorder="1" applyAlignment="1" applyProtection="1">
      <alignment vertical="center"/>
      <protection locked="0"/>
    </xf>
    <xf numFmtId="0" fontId="3" fillId="6" borderId="0" xfId="0" applyFont="1" applyFill="1" applyAlignment="1" applyProtection="1">
      <alignment vertical="center"/>
      <protection locked="0"/>
    </xf>
    <xf numFmtId="164" fontId="4" fillId="6" borderId="0" xfId="0" applyNumberFormat="1" applyFont="1" applyFill="1" applyAlignment="1">
      <alignment vertical="center"/>
    </xf>
    <xf numFmtId="0" fontId="0" fillId="6" borderId="1" xfId="0" applyFill="1" applyBorder="1" applyAlignment="1" applyProtection="1">
      <alignment vertical="center"/>
      <protection locked="0"/>
    </xf>
    <xf numFmtId="165" fontId="0" fillId="6" borderId="0" xfId="0" applyNumberFormat="1" applyFill="1" applyAlignment="1" applyProtection="1">
      <alignment vertical="center"/>
      <protection locked="0"/>
    </xf>
    <xf numFmtId="2" fontId="3" fillId="6" borderId="1" xfId="0" applyNumberFormat="1" applyFont="1" applyFill="1" applyBorder="1" applyAlignment="1">
      <alignment vertical="center"/>
    </xf>
    <xf numFmtId="2" fontId="3" fillId="6" borderId="1" xfId="0" applyNumberFormat="1" applyFont="1" applyFill="1" applyBorder="1" applyAlignment="1" applyProtection="1">
      <alignment vertical="center"/>
      <protection locked="0"/>
    </xf>
    <xf numFmtId="2" fontId="3" fillId="6" borderId="0" xfId="0" applyNumberFormat="1" applyFont="1" applyFill="1" applyAlignment="1" applyProtection="1">
      <alignment vertical="center"/>
      <protection locked="0"/>
    </xf>
    <xf numFmtId="0" fontId="11" fillId="6" borderId="1" xfId="0" applyFont="1" applyFill="1" applyBorder="1"/>
    <xf numFmtId="0" fontId="0" fillId="0" borderId="14" xfId="0" applyBorder="1"/>
    <xf numFmtId="0" fontId="0" fillId="0" borderId="15" xfId="0" applyBorder="1"/>
    <xf numFmtId="0" fontId="0" fillId="0" borderId="16" xfId="0" applyBorder="1"/>
    <xf numFmtId="0" fontId="3" fillId="3" borderId="21"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6" borderId="1" xfId="0" applyFont="1" applyFill="1" applyBorder="1" applyAlignment="1" applyProtection="1">
      <alignment horizontal="left" vertical="center" indent="1"/>
      <protection locked="0"/>
    </xf>
    <xf numFmtId="0" fontId="3" fillId="6" borderId="0" xfId="0" applyFont="1" applyFill="1" applyAlignment="1" applyProtection="1">
      <alignment horizontal="left" vertical="center" indent="1"/>
      <protection locked="0"/>
    </xf>
    <xf numFmtId="0" fontId="4" fillId="10" borderId="1" xfId="0" applyFont="1" applyFill="1" applyBorder="1"/>
    <xf numFmtId="0" fontId="4" fillId="10" borderId="0" xfId="0" applyFont="1" applyFill="1"/>
    <xf numFmtId="0" fontId="4" fillId="10" borderId="0" xfId="0" applyFont="1" applyFill="1" applyAlignment="1">
      <alignment horizontal="center"/>
    </xf>
    <xf numFmtId="0" fontId="0" fillId="10" borderId="2" xfId="0" applyFill="1" applyBorder="1" applyAlignment="1">
      <alignment horizontal="center"/>
    </xf>
    <xf numFmtId="0" fontId="0" fillId="10" borderId="0" xfId="0" applyFill="1" applyAlignment="1">
      <alignment horizontal="center"/>
    </xf>
    <xf numFmtId="0" fontId="21" fillId="0" borderId="41" xfId="3" applyBorder="1"/>
    <xf numFmtId="0" fontId="21" fillId="0" borderId="0" xfId="3"/>
    <xf numFmtId="0" fontId="24" fillId="0" borderId="41" xfId="3" applyFont="1" applyBorder="1"/>
    <xf numFmtId="0" fontId="3" fillId="0" borderId="41" xfId="0" applyFont="1" applyBorder="1"/>
    <xf numFmtId="0" fontId="0" fillId="0" borderId="2" xfId="0" applyBorder="1" applyAlignment="1">
      <alignment horizontal="center"/>
    </xf>
    <xf numFmtId="0" fontId="4" fillId="0" borderId="13" xfId="0" applyFont="1" applyBorder="1"/>
    <xf numFmtId="0" fontId="4" fillId="0" borderId="18" xfId="0" applyFont="1" applyBorder="1"/>
    <xf numFmtId="0" fontId="4" fillId="0" borderId="18" xfId="0" applyFont="1" applyBorder="1" applyAlignment="1">
      <alignment horizontal="center"/>
    </xf>
    <xf numFmtId="0" fontId="0" fillId="0" borderId="17" xfId="0" applyBorder="1" applyAlignment="1">
      <alignment horizontal="center"/>
    </xf>
    <xf numFmtId="0" fontId="3" fillId="0" borderId="41" xfId="0" applyFont="1" applyBorder="1" applyAlignment="1">
      <alignment horizontal="center" vertical="center"/>
    </xf>
    <xf numFmtId="0" fontId="26" fillId="3" borderId="42" xfId="0" applyFont="1" applyFill="1" applyBorder="1" applyAlignment="1">
      <alignment horizontal="center" vertical="center"/>
    </xf>
    <xf numFmtId="0" fontId="3" fillId="0" borderId="35" xfId="0" applyFont="1" applyBorder="1" applyAlignment="1">
      <alignment horizontal="center" vertical="center"/>
    </xf>
    <xf numFmtId="0" fontId="3" fillId="0" borderId="23" xfId="0" applyFont="1" applyBorder="1" applyAlignment="1">
      <alignment horizontal="center" vertical="center"/>
    </xf>
    <xf numFmtId="0" fontId="26" fillId="3" borderId="25" xfId="0" applyFont="1" applyFill="1" applyBorder="1" applyAlignment="1">
      <alignment horizontal="center" vertical="center"/>
    </xf>
    <xf numFmtId="0" fontId="23" fillId="0" borderId="0" xfId="5"/>
    <xf numFmtId="0" fontId="4" fillId="3" borderId="41" xfId="0" applyFont="1" applyFill="1" applyBorder="1" applyAlignment="1">
      <alignment horizontal="center" vertical="center"/>
    </xf>
    <xf numFmtId="1" fontId="0" fillId="0" borderId="41" xfId="0" applyNumberFormat="1" applyBorder="1" applyAlignment="1">
      <alignment horizontal="center" vertical="center"/>
    </xf>
    <xf numFmtId="1" fontId="0" fillId="11" borderId="41" xfId="0" applyNumberFormat="1" applyFill="1" applyBorder="1" applyAlignment="1">
      <alignment horizontal="center" vertical="center"/>
    </xf>
    <xf numFmtId="0" fontId="4" fillId="0" borderId="0" xfId="0" applyFont="1" applyAlignment="1">
      <alignment wrapText="1"/>
    </xf>
    <xf numFmtId="0" fontId="0" fillId="0" borderId="16" xfId="0" applyBorder="1" applyAlignment="1">
      <alignment horizontal="center" vertical="center"/>
    </xf>
    <xf numFmtId="0" fontId="3" fillId="0" borderId="15" xfId="0" applyFont="1" applyBorder="1" applyAlignment="1">
      <alignment horizontal="center"/>
    </xf>
    <xf numFmtId="164" fontId="0" fillId="0" borderId="14" xfId="0" applyNumberFormat="1" applyBorder="1"/>
    <xf numFmtId="0" fontId="4" fillId="0" borderId="0" xfId="2"/>
    <xf numFmtId="0" fontId="4" fillId="0" borderId="0" xfId="2" applyAlignment="1">
      <alignment horizontal="center"/>
    </xf>
    <xf numFmtId="0" fontId="3" fillId="0" borderId="4" xfId="2" applyFont="1" applyBorder="1"/>
    <xf numFmtId="0" fontId="4" fillId="0" borderId="21" xfId="2" applyBorder="1"/>
    <xf numFmtId="0" fontId="4" fillId="0" borderId="2" xfId="2" applyBorder="1"/>
    <xf numFmtId="0" fontId="4" fillId="0" borderId="13" xfId="2" applyBorder="1"/>
    <xf numFmtId="0" fontId="4" fillId="0" borderId="17" xfId="2" applyBorder="1"/>
    <xf numFmtId="0" fontId="3" fillId="0" borderId="1" xfId="2" applyFont="1" applyBorder="1"/>
    <xf numFmtId="164" fontId="3" fillId="0" borderId="2" xfId="2" applyNumberFormat="1" applyFont="1" applyBorder="1"/>
    <xf numFmtId="164" fontId="3" fillId="0" borderId="0" xfId="2" applyNumberFormat="1" applyFont="1"/>
    <xf numFmtId="0" fontId="4" fillId="0" borderId="18" xfId="2" applyBorder="1"/>
    <xf numFmtId="0" fontId="3" fillId="0" borderId="13" xfId="2" applyFont="1" applyBorder="1"/>
    <xf numFmtId="0" fontId="3" fillId="0" borderId="45" xfId="2" applyFont="1" applyBorder="1" applyAlignment="1">
      <alignment horizontal="center"/>
    </xf>
    <xf numFmtId="0" fontId="3" fillId="0" borderId="21" xfId="2" applyFont="1" applyBorder="1" applyAlignment="1">
      <alignment horizontal="center"/>
    </xf>
    <xf numFmtId="0" fontId="0" fillId="0" borderId="13" xfId="0" applyBorder="1"/>
    <xf numFmtId="0" fontId="0" fillId="0" borderId="18" xfId="0" applyBorder="1"/>
    <xf numFmtId="0" fontId="0" fillId="0" borderId="17" xfId="0" applyBorder="1"/>
    <xf numFmtId="0" fontId="0" fillId="0" borderId="18" xfId="0" applyBorder="1" applyAlignment="1">
      <alignment horizontal="center"/>
    </xf>
    <xf numFmtId="164" fontId="3" fillId="0" borderId="14" xfId="0" applyNumberFormat="1" applyFont="1" applyBorder="1"/>
    <xf numFmtId="0" fontId="0" fillId="5" borderId="1" xfId="0" applyFill="1" applyBorder="1" applyAlignment="1">
      <alignment horizontal="center" vertical="center"/>
    </xf>
    <xf numFmtId="0" fontId="3" fillId="7" borderId="45" xfId="0" applyFont="1" applyFill="1" applyBorder="1" applyAlignment="1">
      <alignment horizontal="center" vertical="center"/>
    </xf>
    <xf numFmtId="1" fontId="0" fillId="6" borderId="0" xfId="0" applyNumberFormat="1" applyFill="1"/>
    <xf numFmtId="0" fontId="4" fillId="6" borderId="0" xfId="0" applyFont="1" applyFill="1"/>
    <xf numFmtId="0" fontId="3" fillId="3" borderId="4" xfId="0" applyFont="1" applyFill="1" applyBorder="1" applyAlignment="1">
      <alignment horizontal="center" vertical="center"/>
    </xf>
    <xf numFmtId="0" fontId="3" fillId="3" borderId="46" xfId="0" applyFont="1" applyFill="1" applyBorder="1" applyAlignment="1">
      <alignment horizontal="center" vertical="center"/>
    </xf>
    <xf numFmtId="1" fontId="3" fillId="6" borderId="9" xfId="0" applyNumberFormat="1" applyFont="1" applyFill="1" applyBorder="1" applyAlignment="1">
      <alignment horizontal="center" vertical="center"/>
    </xf>
    <xf numFmtId="0" fontId="3" fillId="6" borderId="9" xfId="0" applyFont="1" applyFill="1" applyBorder="1" applyAlignment="1">
      <alignment horizontal="center"/>
    </xf>
    <xf numFmtId="0" fontId="5" fillId="0" borderId="0" xfId="0" applyFont="1" applyAlignment="1">
      <alignment vertical="center"/>
    </xf>
    <xf numFmtId="0" fontId="3" fillId="3" borderId="45" xfId="0" applyFont="1" applyFill="1" applyBorder="1" applyAlignment="1">
      <alignment horizontal="center"/>
    </xf>
    <xf numFmtId="0" fontId="3" fillId="6" borderId="47" xfId="0" applyFont="1" applyFill="1" applyBorder="1" applyAlignment="1">
      <alignment horizontal="center"/>
    </xf>
    <xf numFmtId="0" fontId="3" fillId="6" borderId="43" xfId="0" applyFont="1" applyFill="1" applyBorder="1" applyAlignment="1">
      <alignment horizontal="center"/>
    </xf>
    <xf numFmtId="0" fontId="4" fillId="3" borderId="4" xfId="0" applyFont="1" applyFill="1" applyBorder="1"/>
    <xf numFmtId="0" fontId="3" fillId="3" borderId="21" xfId="0" applyFont="1" applyFill="1" applyBorder="1" applyAlignment="1">
      <alignment horizontal="center"/>
    </xf>
    <xf numFmtId="0" fontId="3" fillId="3" borderId="51" xfId="0" applyFont="1" applyFill="1" applyBorder="1" applyAlignment="1">
      <alignment horizontal="left" vertical="center"/>
    </xf>
    <xf numFmtId="0" fontId="13" fillId="3" borderId="52" xfId="0" applyFont="1" applyFill="1" applyBorder="1" applyAlignment="1">
      <alignment horizontal="left" vertical="center"/>
    </xf>
    <xf numFmtId="0" fontId="5" fillId="0" borderId="52" xfId="0" applyFont="1" applyBorder="1" applyAlignment="1">
      <alignment vertical="center"/>
    </xf>
    <xf numFmtId="0" fontId="3" fillId="3" borderId="53" xfId="0" applyFont="1" applyFill="1" applyBorder="1" applyAlignment="1">
      <alignment horizontal="left" vertical="center"/>
    </xf>
    <xf numFmtId="0" fontId="13" fillId="3" borderId="53" xfId="0" applyFont="1" applyFill="1" applyBorder="1" applyAlignment="1">
      <alignment horizontal="left" vertical="center"/>
    </xf>
    <xf numFmtId="0" fontId="5" fillId="6" borderId="51" xfId="0" applyFont="1" applyFill="1" applyBorder="1" applyAlignment="1">
      <alignment vertical="center"/>
    </xf>
    <xf numFmtId="0" fontId="0" fillId="6" borderId="53" xfId="0" applyFill="1" applyBorder="1" applyAlignment="1">
      <alignment vertical="center"/>
    </xf>
    <xf numFmtId="0" fontId="3" fillId="3" borderId="52" xfId="0" applyFont="1" applyFill="1" applyBorder="1" applyAlignment="1">
      <alignment horizontal="left" vertical="center"/>
    </xf>
    <xf numFmtId="0" fontId="5" fillId="6" borderId="51" xfId="0" applyFont="1" applyFill="1" applyBorder="1" applyAlignment="1" applyProtection="1">
      <alignment horizontal="center" vertical="center"/>
      <protection locked="0"/>
    </xf>
    <xf numFmtId="0" fontId="5" fillId="6" borderId="52" xfId="0" applyFont="1" applyFill="1" applyBorder="1" applyAlignment="1">
      <alignment horizontal="center" vertical="center"/>
    </xf>
    <xf numFmtId="0" fontId="5" fillId="6" borderId="17" xfId="0" applyFont="1" applyFill="1" applyBorder="1" applyAlignment="1">
      <alignment vertical="center"/>
    </xf>
    <xf numFmtId="0" fontId="5" fillId="6" borderId="13" xfId="0" applyFont="1" applyFill="1" applyBorder="1" applyAlignment="1">
      <alignment vertical="center"/>
    </xf>
    <xf numFmtId="0" fontId="3" fillId="6" borderId="54" xfId="0" applyFont="1" applyFill="1" applyBorder="1" applyAlignment="1">
      <alignment horizontal="center"/>
    </xf>
    <xf numFmtId="1" fontId="3" fillId="6" borderId="33" xfId="0" applyNumberFormat="1" applyFont="1" applyFill="1" applyBorder="1" applyAlignment="1">
      <alignment horizontal="center" vertical="center"/>
    </xf>
    <xf numFmtId="0" fontId="5" fillId="6" borderId="15" xfId="0" applyFont="1" applyFill="1" applyBorder="1"/>
    <xf numFmtId="0" fontId="5" fillId="6" borderId="1" xfId="0" applyFont="1" applyFill="1" applyBorder="1"/>
    <xf numFmtId="0" fontId="14" fillId="6" borderId="14" xfId="0" applyFont="1" applyFill="1" applyBorder="1"/>
    <xf numFmtId="0" fontId="14" fillId="6" borderId="15" xfId="0" applyFont="1" applyFill="1" applyBorder="1"/>
    <xf numFmtId="0" fontId="14" fillId="6" borderId="1" xfId="0" applyFont="1" applyFill="1" applyBorder="1"/>
    <xf numFmtId="0" fontId="14" fillId="6" borderId="0" xfId="0" applyFont="1" applyFill="1"/>
    <xf numFmtId="0" fontId="9" fillId="6" borderId="18" xfId="0" applyFont="1" applyFill="1" applyBorder="1"/>
    <xf numFmtId="0" fontId="9" fillId="6" borderId="17" xfId="0" applyFont="1" applyFill="1" applyBorder="1"/>
    <xf numFmtId="0" fontId="9" fillId="6" borderId="13" xfId="0" applyFont="1" applyFill="1" applyBorder="1"/>
    <xf numFmtId="0" fontId="7" fillId="6" borderId="0" xfId="0" applyFont="1" applyFill="1" applyAlignment="1">
      <alignment vertical="center"/>
    </xf>
    <xf numFmtId="0" fontId="12" fillId="3" borderId="22" xfId="0" applyFont="1" applyFill="1" applyBorder="1" applyAlignment="1">
      <alignment horizontal="center"/>
    </xf>
    <xf numFmtId="0" fontId="3" fillId="3" borderId="0" xfId="0" applyFont="1" applyFill="1" applyAlignment="1" applyProtection="1">
      <alignment vertical="center"/>
      <protection locked="0"/>
    </xf>
    <xf numFmtId="0" fontId="0" fillId="3" borderId="0" xfId="0" applyFill="1"/>
    <xf numFmtId="0" fontId="3" fillId="3" borderId="38" xfId="0" applyFont="1" applyFill="1" applyBorder="1" applyAlignment="1">
      <alignment horizontal="center" vertical="center"/>
    </xf>
    <xf numFmtId="0" fontId="0" fillId="0" borderId="0" xfId="0" applyAlignment="1">
      <alignment horizontal="left"/>
    </xf>
    <xf numFmtId="1" fontId="3" fillId="3" borderId="56" xfId="0" applyNumberFormat="1" applyFont="1" applyFill="1" applyBorder="1" applyAlignment="1">
      <alignment horizontal="center" vertical="center"/>
    </xf>
    <xf numFmtId="0" fontId="3" fillId="3" borderId="57" xfId="0" applyFont="1" applyFill="1" applyBorder="1" applyAlignment="1">
      <alignment horizontal="center"/>
    </xf>
    <xf numFmtId="0" fontId="3" fillId="6" borderId="1" xfId="0" applyFont="1" applyFill="1" applyBorder="1"/>
    <xf numFmtId="0" fontId="3" fillId="6" borderId="2" xfId="0" applyFont="1" applyFill="1" applyBorder="1"/>
    <xf numFmtId="2" fontId="0" fillId="0" borderId="0" xfId="0" applyNumberFormat="1"/>
    <xf numFmtId="0" fontId="3" fillId="6" borderId="0" xfId="0" applyFont="1" applyFill="1" applyAlignment="1">
      <alignment horizontal="left" vertical="center"/>
    </xf>
    <xf numFmtId="1" fontId="3" fillId="6" borderId="54" xfId="0" applyNumberFormat="1" applyFont="1" applyFill="1" applyBorder="1" applyAlignment="1">
      <alignment horizontal="center" vertical="center"/>
    </xf>
    <xf numFmtId="0" fontId="3" fillId="6" borderId="33" xfId="0" applyFont="1" applyFill="1" applyBorder="1" applyAlignment="1">
      <alignment horizontal="center"/>
    </xf>
    <xf numFmtId="0" fontId="3" fillId="0" borderId="0" xfId="2" applyFont="1"/>
    <xf numFmtId="164" fontId="0" fillId="0" borderId="0" xfId="0" applyNumberFormat="1" applyAlignment="1">
      <alignment horizontal="center"/>
    </xf>
    <xf numFmtId="164" fontId="0" fillId="0" borderId="0" xfId="0" applyNumberFormat="1" applyAlignment="1">
      <alignment horizontal="center" vertical="center"/>
    </xf>
    <xf numFmtId="1" fontId="4" fillId="0" borderId="0" xfId="2" applyNumberFormat="1"/>
    <xf numFmtId="0" fontId="22" fillId="0" borderId="41" xfId="1" applyBorder="1"/>
    <xf numFmtId="2" fontId="22" fillId="0" borderId="41" xfId="1" applyNumberFormat="1" applyBorder="1"/>
    <xf numFmtId="2" fontId="0" fillId="0" borderId="41" xfId="0" applyNumberFormat="1" applyBorder="1"/>
    <xf numFmtId="0" fontId="0" fillId="12" borderId="41" xfId="0" applyFill="1" applyBorder="1"/>
    <xf numFmtId="2" fontId="22" fillId="0" borderId="61" xfId="1" applyNumberFormat="1" applyFill="1" applyBorder="1"/>
    <xf numFmtId="164" fontId="3" fillId="0" borderId="0" xfId="0" applyNumberFormat="1" applyFont="1" applyAlignment="1">
      <alignment horizontal="center"/>
    </xf>
    <xf numFmtId="0" fontId="0" fillId="8" borderId="0" xfId="0" applyFill="1" applyAlignment="1">
      <alignment horizontal="center" vertical="center"/>
    </xf>
    <xf numFmtId="0" fontId="0" fillId="13" borderId="41" xfId="0" applyFill="1" applyBorder="1"/>
    <xf numFmtId="2" fontId="0" fillId="10" borderId="0" xfId="0" applyNumberFormat="1" applyFill="1" applyAlignment="1">
      <alignment horizontal="center"/>
    </xf>
    <xf numFmtId="164" fontId="6" fillId="4" borderId="17" xfId="0" applyNumberFormat="1" applyFont="1" applyFill="1" applyBorder="1" applyAlignment="1">
      <alignment horizontal="right"/>
    </xf>
    <xf numFmtId="2" fontId="0" fillId="14" borderId="41" xfId="0" applyNumberFormat="1" applyFill="1" applyBorder="1"/>
    <xf numFmtId="1" fontId="0" fillId="14" borderId="2" xfId="0" applyNumberFormat="1" applyFill="1" applyBorder="1" applyAlignment="1">
      <alignment horizontal="center"/>
    </xf>
    <xf numFmtId="1" fontId="0" fillId="0" borderId="0" xfId="0" applyNumberFormat="1" applyAlignment="1">
      <alignment horizontal="center"/>
    </xf>
    <xf numFmtId="0" fontId="0" fillId="15" borderId="0" xfId="0" applyFill="1"/>
    <xf numFmtId="0" fontId="0" fillId="15" borderId="69" xfId="0" applyFill="1" applyBorder="1"/>
    <xf numFmtId="0" fontId="0" fillId="15" borderId="5" xfId="0" applyFill="1" applyBorder="1"/>
    <xf numFmtId="0" fontId="0" fillId="15" borderId="27" xfId="0" applyFill="1" applyBorder="1"/>
    <xf numFmtId="0" fontId="0" fillId="15" borderId="54" xfId="0" applyFill="1" applyBorder="1"/>
    <xf numFmtId="0" fontId="0" fillId="15" borderId="9" xfId="0" applyFill="1" applyBorder="1"/>
    <xf numFmtId="0" fontId="24" fillId="0" borderId="0" xfId="0" applyFont="1"/>
    <xf numFmtId="0" fontId="24" fillId="6" borderId="0" xfId="0" applyFont="1" applyFill="1"/>
    <xf numFmtId="2" fontId="3" fillId="0" borderId="0" xfId="0" applyNumberFormat="1" applyFont="1" applyAlignment="1">
      <alignment horizontal="center"/>
    </xf>
    <xf numFmtId="0" fontId="4" fillId="6" borderId="18" xfId="0" applyFont="1" applyFill="1" applyBorder="1" applyAlignment="1">
      <alignment horizontal="left"/>
    </xf>
    <xf numFmtId="0" fontId="4" fillId="6" borderId="0" xfId="0" applyFont="1" applyFill="1" applyAlignment="1">
      <alignment horizontal="left"/>
    </xf>
    <xf numFmtId="0" fontId="7" fillId="6" borderId="15" xfId="0" applyFont="1" applyFill="1" applyBorder="1" applyAlignment="1">
      <alignment horizontal="left"/>
    </xf>
    <xf numFmtId="0" fontId="0" fillId="6" borderId="0" xfId="0" applyFill="1" applyAlignment="1">
      <alignment horizontal="right"/>
    </xf>
    <xf numFmtId="0" fontId="19" fillId="6" borderId="1" xfId="0" applyFont="1" applyFill="1" applyBorder="1" applyAlignment="1">
      <alignment horizontal="left"/>
    </xf>
    <xf numFmtId="0" fontId="19" fillId="0" borderId="1" xfId="0" applyFont="1" applyBorder="1"/>
    <xf numFmtId="0" fontId="19" fillId="6" borderId="13" xfId="0" applyFont="1" applyFill="1" applyBorder="1"/>
    <xf numFmtId="164" fontId="3" fillId="6" borderId="15" xfId="0" applyNumberFormat="1" applyFont="1" applyFill="1" applyBorder="1" applyAlignment="1">
      <alignment horizontal="center" vertical="center"/>
    </xf>
    <xf numFmtId="0" fontId="4" fillId="6" borderId="14" xfId="0" applyFont="1" applyFill="1" applyBorder="1" applyAlignment="1">
      <alignment horizontal="left" indent="1"/>
    </xf>
    <xf numFmtId="0" fontId="4" fillId="6" borderId="1" xfId="0" applyFont="1" applyFill="1" applyBorder="1" applyAlignment="1">
      <alignment horizontal="left" indent="1"/>
    </xf>
    <xf numFmtId="0" fontId="4" fillId="6" borderId="13" xfId="0" applyFont="1" applyFill="1" applyBorder="1" applyAlignment="1">
      <alignment horizontal="left" indent="1"/>
    </xf>
    <xf numFmtId="0" fontId="3" fillId="6" borderId="18" xfId="0" applyFont="1" applyFill="1" applyBorder="1" applyAlignment="1">
      <alignment horizontal="center"/>
    </xf>
    <xf numFmtId="0" fontId="3" fillId="16" borderId="1" xfId="0" applyFont="1" applyFill="1" applyBorder="1"/>
    <xf numFmtId="0" fontId="3" fillId="16" borderId="0" xfId="0" applyFont="1" applyFill="1"/>
    <xf numFmtId="0" fontId="3" fillId="16" borderId="2" xfId="0" applyFont="1" applyFill="1" applyBorder="1" applyAlignment="1">
      <alignment horizontal="right"/>
    </xf>
    <xf numFmtId="0" fontId="4" fillId="6" borderId="70" xfId="0" applyFont="1" applyFill="1" applyBorder="1" applyAlignment="1">
      <alignment horizontal="left" indent="1"/>
    </xf>
    <xf numFmtId="0" fontId="0" fillId="6" borderId="40" xfId="0" applyFill="1" applyBorder="1"/>
    <xf numFmtId="0" fontId="3" fillId="6" borderId="62" xfId="0" applyFont="1" applyFill="1" applyBorder="1" applyAlignment="1">
      <alignment horizontal="center"/>
    </xf>
    <xf numFmtId="1" fontId="3" fillId="6" borderId="71" xfId="0" applyNumberFormat="1" applyFont="1" applyFill="1" applyBorder="1" applyAlignment="1">
      <alignment horizontal="center" vertical="center"/>
    </xf>
    <xf numFmtId="0" fontId="3" fillId="6" borderId="71" xfId="0" applyFont="1" applyFill="1" applyBorder="1" applyAlignment="1">
      <alignment horizontal="center"/>
    </xf>
    <xf numFmtId="0" fontId="19" fillId="6" borderId="0" xfId="0" applyFont="1" applyFill="1"/>
    <xf numFmtId="0" fontId="4" fillId="6" borderId="0" xfId="0" applyFont="1" applyFill="1" applyAlignment="1">
      <alignment horizontal="left" indent="1"/>
    </xf>
    <xf numFmtId="166" fontId="9" fillId="6" borderId="16" xfId="0" applyNumberFormat="1" applyFont="1" applyFill="1" applyBorder="1" applyAlignment="1">
      <alignment horizontal="left" vertical="center"/>
    </xf>
    <xf numFmtId="166" fontId="9" fillId="6" borderId="2" xfId="0" applyNumberFormat="1" applyFont="1" applyFill="1" applyBorder="1" applyAlignment="1">
      <alignment horizontal="left" vertical="center"/>
    </xf>
    <xf numFmtId="166" fontId="9" fillId="6" borderId="17" xfId="0" applyNumberFormat="1" applyFont="1" applyFill="1" applyBorder="1" applyAlignment="1">
      <alignment horizontal="left" vertical="center"/>
    </xf>
    <xf numFmtId="0" fontId="19" fillId="6" borderId="70" xfId="0" applyFont="1" applyFill="1" applyBorder="1" applyAlignment="1">
      <alignment horizontal="left"/>
    </xf>
    <xf numFmtId="0" fontId="4" fillId="6" borderId="40" xfId="0" applyFont="1" applyFill="1" applyBorder="1" applyAlignment="1">
      <alignment horizontal="left"/>
    </xf>
    <xf numFmtId="164" fontId="3" fillId="6" borderId="40" xfId="0" applyNumberFormat="1" applyFont="1" applyFill="1" applyBorder="1" applyAlignment="1">
      <alignment horizontal="center" vertical="center"/>
    </xf>
    <xf numFmtId="0" fontId="19" fillId="6" borderId="70" xfId="0" applyFont="1" applyFill="1" applyBorder="1" applyAlignment="1">
      <alignment horizontal="left" indent="1"/>
    </xf>
    <xf numFmtId="0" fontId="4" fillId="6" borderId="40" xfId="0" applyFont="1" applyFill="1" applyBorder="1" applyAlignment="1">
      <alignment horizontal="left" indent="1"/>
    </xf>
    <xf numFmtId="0" fontId="19" fillId="6" borderId="1" xfId="0" applyFont="1" applyFill="1" applyBorder="1" applyAlignment="1">
      <alignment horizontal="left" indent="1"/>
    </xf>
    <xf numFmtId="0" fontId="19" fillId="0" borderId="1" xfId="0" applyFont="1" applyBorder="1" applyAlignment="1">
      <alignment horizontal="left" indent="1"/>
    </xf>
    <xf numFmtId="0" fontId="19" fillId="6" borderId="13" xfId="0" applyFont="1" applyFill="1" applyBorder="1" applyAlignment="1">
      <alignment horizontal="left" indent="1"/>
    </xf>
    <xf numFmtId="0" fontId="4" fillId="6" borderId="18" xfId="0" applyFont="1" applyFill="1" applyBorder="1" applyAlignment="1">
      <alignment horizontal="left" indent="1"/>
    </xf>
    <xf numFmtId="0" fontId="9" fillId="6" borderId="47" xfId="0" applyFont="1" applyFill="1" applyBorder="1" applyAlignment="1">
      <alignment horizontal="center"/>
    </xf>
    <xf numFmtId="0" fontId="9" fillId="6" borderId="22" xfId="0" applyFont="1" applyFill="1" applyBorder="1" applyAlignment="1">
      <alignment horizontal="center"/>
    </xf>
    <xf numFmtId="164" fontId="3" fillId="6" borderId="0" xfId="0" applyNumberFormat="1" applyFont="1" applyFill="1" applyAlignment="1">
      <alignment horizontal="center"/>
    </xf>
    <xf numFmtId="0" fontId="3" fillId="17" borderId="45" xfId="0" applyFont="1" applyFill="1" applyBorder="1" applyAlignment="1">
      <alignment horizontal="center" vertical="center"/>
    </xf>
    <xf numFmtId="0" fontId="3" fillId="17" borderId="72" xfId="0" applyFont="1" applyFill="1" applyBorder="1" applyAlignment="1">
      <alignment horizontal="center" vertical="center"/>
    </xf>
    <xf numFmtId="0" fontId="3" fillId="17" borderId="27" xfId="0" applyFont="1" applyFill="1" applyBorder="1" applyAlignment="1">
      <alignment horizontal="center" vertical="center"/>
    </xf>
    <xf numFmtId="164" fontId="9" fillId="6" borderId="47" xfId="0" applyNumberFormat="1" applyFont="1" applyFill="1" applyBorder="1" applyAlignment="1">
      <alignment horizontal="center"/>
    </xf>
    <xf numFmtId="1" fontId="13" fillId="6" borderId="43" xfId="0" applyNumberFormat="1" applyFont="1" applyFill="1" applyBorder="1" applyAlignment="1">
      <alignment horizontal="center"/>
    </xf>
    <xf numFmtId="164" fontId="9" fillId="6" borderId="22" xfId="0" applyNumberFormat="1" applyFont="1" applyFill="1" applyBorder="1" applyAlignment="1">
      <alignment horizontal="center"/>
    </xf>
    <xf numFmtId="1" fontId="13" fillId="6" borderId="23" xfId="0" applyNumberFormat="1" applyFont="1" applyFill="1" applyBorder="1" applyAlignment="1">
      <alignment horizontal="center"/>
    </xf>
    <xf numFmtId="0" fontId="9" fillId="6" borderId="37" xfId="0" applyFont="1" applyFill="1" applyBorder="1" applyAlignment="1">
      <alignment horizontal="center"/>
    </xf>
    <xf numFmtId="164" fontId="9" fillId="6" borderId="37" xfId="0" applyNumberFormat="1" applyFont="1" applyFill="1" applyBorder="1" applyAlignment="1">
      <alignment horizontal="center"/>
    </xf>
    <xf numFmtId="1" fontId="13" fillId="6" borderId="39" xfId="0" applyNumberFormat="1" applyFont="1" applyFill="1" applyBorder="1" applyAlignment="1">
      <alignment horizontal="center"/>
    </xf>
    <xf numFmtId="0" fontId="5" fillId="6" borderId="15" xfId="0" applyFont="1" applyFill="1" applyBorder="1" applyAlignment="1">
      <alignment horizontal="center"/>
    </xf>
    <xf numFmtId="0" fontId="13" fillId="6" borderId="15" xfId="0" applyFont="1" applyFill="1" applyBorder="1" applyAlignment="1">
      <alignment horizontal="center"/>
    </xf>
    <xf numFmtId="1" fontId="9" fillId="6" borderId="15" xfId="0" applyNumberFormat="1" applyFont="1" applyFill="1" applyBorder="1" applyAlignment="1">
      <alignment horizontal="right"/>
    </xf>
    <xf numFmtId="0" fontId="9" fillId="6" borderId="15" xfId="0" applyFont="1" applyFill="1" applyBorder="1" applyAlignment="1">
      <alignment horizontal="center"/>
    </xf>
    <xf numFmtId="1" fontId="9" fillId="6" borderId="15" xfId="0" applyNumberFormat="1" applyFont="1" applyFill="1" applyBorder="1" applyAlignment="1">
      <alignment horizontal="center"/>
    </xf>
    <xf numFmtId="1" fontId="5" fillId="6" borderId="15" xfId="0" applyNumberFormat="1" applyFont="1" applyFill="1" applyBorder="1" applyAlignment="1">
      <alignment horizontal="center"/>
    </xf>
    <xf numFmtId="0" fontId="0" fillId="9" borderId="15" xfId="0" applyFill="1" applyBorder="1"/>
    <xf numFmtId="0" fontId="0" fillId="9" borderId="16" xfId="0" applyFill="1" applyBorder="1"/>
    <xf numFmtId="0" fontId="12" fillId="9" borderId="14" xfId="0" applyFont="1" applyFill="1" applyBorder="1" applyAlignment="1">
      <alignment horizontal="left" vertical="center"/>
    </xf>
    <xf numFmtId="0" fontId="12" fillId="17" borderId="4" xfId="0" applyFont="1" applyFill="1" applyBorder="1" applyAlignment="1">
      <alignment horizontal="left" vertical="center"/>
    </xf>
    <xf numFmtId="0" fontId="3" fillId="6" borderId="40" xfId="0" applyFont="1" applyFill="1" applyBorder="1" applyAlignment="1">
      <alignment horizontal="center"/>
    </xf>
    <xf numFmtId="0" fontId="3" fillId="6" borderId="1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166" fontId="9" fillId="6" borderId="73" xfId="0" applyNumberFormat="1" applyFont="1" applyFill="1" applyBorder="1" applyAlignment="1">
      <alignment horizontal="center" vertical="center"/>
    </xf>
    <xf numFmtId="166" fontId="9" fillId="6" borderId="74" xfId="0" applyNumberFormat="1" applyFont="1" applyFill="1" applyBorder="1" applyAlignment="1">
      <alignment horizontal="center" vertical="center"/>
    </xf>
    <xf numFmtId="166" fontId="9" fillId="6" borderId="58" xfId="0" applyNumberFormat="1" applyFont="1" applyFill="1" applyBorder="1" applyAlignment="1">
      <alignment horizontal="center" vertical="center"/>
    </xf>
    <xf numFmtId="0" fontId="3" fillId="17" borderId="75" xfId="0" applyFont="1" applyFill="1" applyBorder="1" applyAlignment="1">
      <alignment horizontal="center" vertical="center"/>
    </xf>
    <xf numFmtId="164" fontId="9" fillId="6" borderId="76" xfId="0" applyNumberFormat="1" applyFont="1" applyFill="1" applyBorder="1" applyAlignment="1">
      <alignment horizontal="center"/>
    </xf>
    <xf numFmtId="164" fontId="9" fillId="6" borderId="77" xfId="0" applyNumberFormat="1" applyFont="1" applyFill="1" applyBorder="1" applyAlignment="1">
      <alignment horizontal="center"/>
    </xf>
    <xf numFmtId="164" fontId="9" fillId="6" borderId="78" xfId="0" applyNumberFormat="1" applyFont="1" applyFill="1" applyBorder="1" applyAlignment="1">
      <alignment horizontal="center"/>
    </xf>
    <xf numFmtId="0" fontId="3" fillId="17" borderId="72" xfId="0" applyFont="1" applyFill="1" applyBorder="1" applyAlignment="1">
      <alignment horizontal="center" vertical="center" wrapText="1"/>
    </xf>
    <xf numFmtId="164" fontId="9" fillId="6" borderId="24" xfId="0" applyNumberFormat="1" applyFont="1" applyFill="1" applyBorder="1" applyAlignment="1">
      <alignment horizontal="center"/>
    </xf>
    <xf numFmtId="164" fontId="9" fillId="6" borderId="56" xfId="0" quotePrefix="1" applyNumberFormat="1" applyFont="1" applyFill="1" applyBorder="1" applyAlignment="1">
      <alignment horizontal="center"/>
    </xf>
    <xf numFmtId="164" fontId="9" fillId="6" borderId="77" xfId="0" quotePrefix="1" applyNumberFormat="1" applyFont="1" applyFill="1" applyBorder="1" applyAlignment="1">
      <alignment horizontal="center"/>
    </xf>
    <xf numFmtId="0" fontId="5" fillId="6" borderId="51" xfId="0" applyFont="1" applyFill="1" applyBorder="1"/>
    <xf numFmtId="0" fontId="5" fillId="6" borderId="52" xfId="0" applyFont="1" applyFill="1" applyBorder="1"/>
    <xf numFmtId="1" fontId="3" fillId="3" borderId="46" xfId="0" applyNumberFormat="1" applyFont="1" applyFill="1" applyBorder="1" applyAlignment="1">
      <alignment horizontal="center" vertical="center"/>
    </xf>
    <xf numFmtId="0" fontId="3" fillId="9" borderId="41" xfId="2" applyFont="1" applyFill="1" applyBorder="1" applyAlignment="1">
      <alignment horizontal="center" vertical="center"/>
    </xf>
    <xf numFmtId="0" fontId="4" fillId="9" borderId="41" xfId="2" applyFill="1" applyBorder="1"/>
    <xf numFmtId="0" fontId="26" fillId="3" borderId="70" xfId="2" applyFont="1" applyFill="1" applyBorder="1" applyAlignment="1">
      <alignment wrapText="1"/>
    </xf>
    <xf numFmtId="0" fontId="26" fillId="3" borderId="67" xfId="2" applyFont="1" applyFill="1" applyBorder="1" applyAlignment="1">
      <alignment wrapText="1"/>
    </xf>
    <xf numFmtId="0" fontId="26" fillId="3" borderId="67" xfId="2" applyFont="1" applyFill="1" applyBorder="1" applyAlignment="1">
      <alignment horizontal="center" wrapText="1"/>
    </xf>
    <xf numFmtId="0" fontId="26" fillId="3" borderId="42" xfId="2" applyFont="1" applyFill="1" applyBorder="1" applyAlignment="1">
      <alignment horizontal="center" vertical="center"/>
    </xf>
    <xf numFmtId="0" fontId="3" fillId="3" borderId="41" xfId="2" applyFont="1" applyFill="1" applyBorder="1" applyAlignment="1">
      <alignment horizontal="center" vertical="center"/>
    </xf>
    <xf numFmtId="0" fontId="3" fillId="3" borderId="41" xfId="2" applyFont="1" applyFill="1" applyBorder="1" applyAlignment="1">
      <alignment horizontal="center" vertical="center" wrapText="1"/>
    </xf>
    <xf numFmtId="0" fontId="4" fillId="0" borderId="41" xfId="2" applyBorder="1"/>
    <xf numFmtId="1" fontId="4" fillId="0" borderId="41" xfId="2" applyNumberFormat="1" applyBorder="1"/>
    <xf numFmtId="0" fontId="3" fillId="0" borderId="79" xfId="2" applyFont="1" applyBorder="1" applyAlignment="1">
      <alignment horizontal="center" vertical="center"/>
    </xf>
    <xf numFmtId="1" fontId="3" fillId="0" borderId="35" xfId="2" applyNumberFormat="1" applyFont="1" applyBorder="1" applyAlignment="1">
      <alignment horizontal="center" vertical="center"/>
    </xf>
    <xf numFmtId="164" fontId="28" fillId="0" borderId="36" xfId="2" applyNumberFormat="1" applyFont="1" applyBorder="1"/>
    <xf numFmtId="164" fontId="28" fillId="0" borderId="66" xfId="2" applyNumberFormat="1" applyFont="1" applyBorder="1"/>
    <xf numFmtId="164" fontId="26" fillId="0" borderId="66" xfId="2" applyNumberFormat="1" applyFont="1" applyBorder="1"/>
    <xf numFmtId="164" fontId="28" fillId="18" borderId="36" xfId="2" applyNumberFormat="1" applyFont="1" applyFill="1" applyBorder="1"/>
    <xf numFmtId="164" fontId="28" fillId="18" borderId="15" xfId="2" applyNumberFormat="1" applyFont="1" applyFill="1" applyBorder="1"/>
    <xf numFmtId="2" fontId="4" fillId="0" borderId="41" xfId="2" applyNumberFormat="1" applyBorder="1"/>
    <xf numFmtId="164" fontId="4" fillId="0" borderId="41" xfId="2" applyNumberFormat="1" applyBorder="1"/>
    <xf numFmtId="0" fontId="23" fillId="0" borderId="41" xfId="5" applyBorder="1"/>
    <xf numFmtId="0" fontId="3" fillId="0" borderId="77" xfId="2" applyFont="1" applyBorder="1" applyAlignment="1">
      <alignment horizontal="center" vertical="center"/>
    </xf>
    <xf numFmtId="1" fontId="3" fillId="0" borderId="23" xfId="2" applyNumberFormat="1" applyFont="1" applyBorder="1" applyAlignment="1">
      <alignment horizontal="center" vertical="center"/>
    </xf>
    <xf numFmtId="164" fontId="28" fillId="0" borderId="41" xfId="2" applyNumberFormat="1" applyFont="1" applyBorder="1"/>
    <xf numFmtId="164" fontId="28" fillId="0" borderId="44" xfId="2" applyNumberFormat="1" applyFont="1" applyBorder="1"/>
    <xf numFmtId="164" fontId="28" fillId="18" borderId="0" xfId="2" applyNumberFormat="1" applyFont="1" applyFill="1"/>
    <xf numFmtId="164" fontId="28" fillId="19" borderId="0" xfId="2" applyNumberFormat="1" applyFont="1" applyFill="1"/>
    <xf numFmtId="0" fontId="4" fillId="0" borderId="41" xfId="2" applyBorder="1" applyAlignment="1">
      <alignment horizontal="right"/>
    </xf>
    <xf numFmtId="164" fontId="26" fillId="0" borderId="44" xfId="2" applyNumberFormat="1" applyFont="1" applyBorder="1"/>
    <xf numFmtId="1" fontId="3" fillId="0" borderId="25" xfId="2" applyNumberFormat="1" applyFont="1" applyBorder="1" applyAlignment="1">
      <alignment horizontal="center" vertical="center"/>
    </xf>
    <xf numFmtId="164" fontId="28" fillId="19" borderId="18" xfId="2" applyNumberFormat="1" applyFont="1" applyFill="1" applyBorder="1"/>
    <xf numFmtId="164" fontId="28" fillId="19" borderId="80" xfId="2" applyNumberFormat="1" applyFont="1" applyFill="1" applyBorder="1"/>
    <xf numFmtId="164" fontId="28" fillId="0" borderId="42" xfId="2" applyNumberFormat="1" applyFont="1" applyBorder="1"/>
    <xf numFmtId="164" fontId="28" fillId="0" borderId="80" xfId="2" applyNumberFormat="1" applyFont="1" applyBorder="1"/>
    <xf numFmtId="2" fontId="4" fillId="0" borderId="42" xfId="2" applyNumberFormat="1" applyBorder="1"/>
    <xf numFmtId="2" fontId="4" fillId="0" borderId="48" xfId="2" applyNumberFormat="1" applyBorder="1"/>
    <xf numFmtId="2" fontId="4" fillId="10" borderId="0" xfId="0" applyNumberFormat="1" applyFont="1" applyFill="1" applyAlignment="1">
      <alignment horizontal="center"/>
    </xf>
    <xf numFmtId="2" fontId="4" fillId="0" borderId="0" xfId="0" applyNumberFormat="1" applyFont="1"/>
    <xf numFmtId="0" fontId="4" fillId="0" borderId="41" xfId="0" applyFont="1" applyBorder="1"/>
    <xf numFmtId="2" fontId="22" fillId="0" borderId="41" xfId="1" applyNumberFormat="1" applyBorder="1" applyAlignment="1">
      <alignment horizontal="center"/>
    </xf>
    <xf numFmtId="2" fontId="0" fillId="0" borderId="41" xfId="0" applyNumberFormat="1" applyBorder="1" applyAlignment="1">
      <alignment horizontal="center"/>
    </xf>
    <xf numFmtId="0" fontId="4" fillId="12" borderId="0" xfId="0" applyFont="1" applyFill="1"/>
    <xf numFmtId="2" fontId="0" fillId="10" borderId="2" xfId="0" applyNumberFormat="1" applyFill="1" applyBorder="1" applyAlignment="1">
      <alignment horizontal="center"/>
    </xf>
    <xf numFmtId="0" fontId="3" fillId="0" borderId="77" xfId="0" applyFont="1" applyBorder="1" applyAlignment="1">
      <alignment horizontal="center" vertical="center"/>
    </xf>
    <xf numFmtId="1" fontId="0" fillId="0" borderId="2" xfId="0" applyNumberFormat="1" applyBorder="1" applyAlignment="1">
      <alignment horizontal="center"/>
    </xf>
    <xf numFmtId="2" fontId="4" fillId="0" borderId="0" xfId="2" applyNumberFormat="1"/>
    <xf numFmtId="1" fontId="0" fillId="0" borderId="49" xfId="0" applyNumberFormat="1" applyBorder="1" applyAlignment="1">
      <alignment horizontal="center" vertical="center"/>
    </xf>
    <xf numFmtId="1" fontId="0" fillId="0" borderId="38" xfId="0" applyNumberFormat="1" applyBorder="1" applyAlignment="1">
      <alignment horizontal="center" vertical="center"/>
    </xf>
    <xf numFmtId="1" fontId="0" fillId="0" borderId="67" xfId="0" applyNumberFormat="1" applyBorder="1" applyAlignment="1">
      <alignment horizontal="center" vertical="center"/>
    </xf>
    <xf numFmtId="1" fontId="29" fillId="20" borderId="0" xfId="0" applyNumberFormat="1" applyFont="1" applyFill="1" applyAlignment="1">
      <alignment horizontal="center" vertical="center"/>
    </xf>
    <xf numFmtId="1" fontId="0" fillId="0" borderId="77" xfId="0" applyNumberFormat="1" applyBorder="1" applyAlignment="1">
      <alignment horizontal="center" vertical="center"/>
    </xf>
    <xf numFmtId="0" fontId="4" fillId="3" borderId="38" xfId="0" applyFont="1" applyFill="1" applyBorder="1" applyAlignment="1">
      <alignment horizontal="center" vertical="center"/>
    </xf>
    <xf numFmtId="1" fontId="30" fillId="21" borderId="0" xfId="0" applyNumberFormat="1" applyFont="1" applyFill="1" applyAlignment="1">
      <alignment horizontal="center" vertical="center"/>
    </xf>
    <xf numFmtId="1" fontId="0" fillId="0" borderId="76" xfId="0" applyNumberFormat="1" applyBorder="1" applyAlignment="1">
      <alignment horizontal="center" vertical="center"/>
    </xf>
    <xf numFmtId="1" fontId="0" fillId="0" borderId="48" xfId="0" applyNumberFormat="1" applyBorder="1" applyAlignment="1">
      <alignment horizontal="center" vertical="center"/>
    </xf>
    <xf numFmtId="0" fontId="0" fillId="0" borderId="95" xfId="0" applyBorder="1" applyAlignment="1">
      <alignment horizontal="center" vertical="center"/>
    </xf>
    <xf numFmtId="14" fontId="0" fillId="0" borderId="95" xfId="0" applyNumberFormat="1" applyBorder="1" applyAlignment="1">
      <alignment horizontal="center" vertical="center"/>
    </xf>
    <xf numFmtId="0" fontId="4" fillId="0" borderId="95" xfId="0" applyFont="1" applyBorder="1" applyAlignment="1">
      <alignment horizontal="left" vertical="center"/>
    </xf>
    <xf numFmtId="0" fontId="4" fillId="0" borderId="95" xfId="0" applyFont="1" applyBorder="1" applyAlignment="1">
      <alignment horizontal="left" vertical="center" wrapText="1"/>
    </xf>
    <xf numFmtId="0" fontId="0" fillId="0" borderId="95" xfId="0" applyBorder="1" applyAlignment="1">
      <alignment horizontal="center"/>
    </xf>
    <xf numFmtId="14" fontId="0" fillId="0" borderId="95" xfId="0" applyNumberFormat="1" applyBorder="1"/>
    <xf numFmtId="0" fontId="4" fillId="0" borderId="95" xfId="0" applyFont="1" applyBorder="1"/>
    <xf numFmtId="16" fontId="4" fillId="0" borderId="95" xfId="0" applyNumberFormat="1" applyFont="1" applyBorder="1" applyAlignment="1">
      <alignment wrapText="1"/>
    </xf>
    <xf numFmtId="0" fontId="4" fillId="0" borderId="95" xfId="0" applyFont="1" applyBorder="1" applyAlignment="1">
      <alignment wrapText="1"/>
    </xf>
    <xf numFmtId="16" fontId="0" fillId="0" borderId="95" xfId="0" applyNumberFormat="1" applyBorder="1"/>
    <xf numFmtId="0" fontId="0" fillId="0" borderId="95" xfId="0" applyBorder="1"/>
    <xf numFmtId="0" fontId="31" fillId="0" borderId="41" xfId="5" applyFont="1" applyBorder="1"/>
    <xf numFmtId="1" fontId="23" fillId="0" borderId="0" xfId="5" applyNumberFormat="1"/>
    <xf numFmtId="0" fontId="31" fillId="0" borderId="0" xfId="5" applyFont="1"/>
    <xf numFmtId="164" fontId="23" fillId="0" borderId="0" xfId="5" applyNumberFormat="1"/>
    <xf numFmtId="0" fontId="3" fillId="22" borderId="101" xfId="2" applyFont="1" applyFill="1" applyBorder="1" applyAlignment="1">
      <alignment horizontal="center" vertical="center"/>
    </xf>
    <xf numFmtId="0" fontId="3" fillId="22" borderId="18" xfId="2" applyFont="1" applyFill="1" applyBorder="1" applyAlignment="1">
      <alignment horizontal="center" vertical="center" wrapText="1"/>
    </xf>
    <xf numFmtId="1" fontId="4" fillId="23" borderId="74" xfId="2" applyNumberFormat="1" applyFill="1" applyBorder="1" applyAlignment="1">
      <alignment horizontal="right" vertical="center" wrapText="1"/>
    </xf>
    <xf numFmtId="0" fontId="4" fillId="23" borderId="86" xfId="2" applyFill="1" applyBorder="1" applyAlignment="1">
      <alignment horizontal="left" vertical="center" wrapText="1"/>
    </xf>
    <xf numFmtId="1" fontId="4" fillId="23" borderId="74" xfId="2" applyNumberFormat="1" applyFill="1" applyBorder="1" applyAlignment="1">
      <alignment horizontal="center" vertical="center" wrapText="1"/>
    </xf>
    <xf numFmtId="0" fontId="4" fillId="23" borderId="86" xfId="2" applyFill="1" applyBorder="1" applyAlignment="1">
      <alignment horizontal="center" vertical="center" wrapText="1"/>
    </xf>
    <xf numFmtId="164" fontId="4" fillId="0" borderId="76" xfId="2" applyNumberFormat="1" applyBorder="1" applyAlignment="1">
      <alignment horizontal="right" vertical="center" wrapText="1"/>
    </xf>
    <xf numFmtId="0" fontId="4" fillId="0" borderId="44" xfId="2" applyBorder="1" applyAlignment="1">
      <alignment horizontal="left" vertical="center" wrapText="1"/>
    </xf>
    <xf numFmtId="164" fontId="4" fillId="0" borderId="76" xfId="2" applyNumberFormat="1" applyBorder="1" applyAlignment="1">
      <alignment horizontal="center" vertical="center" wrapText="1"/>
    </xf>
    <xf numFmtId="0" fontId="4" fillId="0" borderId="44" xfId="2" applyBorder="1" applyAlignment="1">
      <alignment horizontal="center" vertical="center" wrapText="1"/>
    </xf>
    <xf numFmtId="1" fontId="4" fillId="23" borderId="78" xfId="2" applyNumberFormat="1" applyFill="1" applyBorder="1" applyAlignment="1">
      <alignment horizontal="right" vertical="center" wrapText="1"/>
    </xf>
    <xf numFmtId="0" fontId="4" fillId="23" borderId="67" xfId="2" applyFill="1" applyBorder="1" applyAlignment="1">
      <alignment horizontal="left" vertical="center" wrapText="1"/>
    </xf>
    <xf numFmtId="1" fontId="23" fillId="3" borderId="0" xfId="5" applyNumberFormat="1" applyFill="1"/>
    <xf numFmtId="0" fontId="23" fillId="0" borderId="0" xfId="5" applyAlignment="1">
      <alignment horizontal="center" vertical="center" wrapText="1"/>
    </xf>
    <xf numFmtId="1" fontId="31" fillId="0" borderId="41" xfId="5" applyNumberFormat="1" applyFont="1" applyBorder="1"/>
    <xf numFmtId="0" fontId="4" fillId="0" borderId="41" xfId="2" applyBorder="1" applyAlignment="1">
      <alignment horizontal="center"/>
    </xf>
    <xf numFmtId="0" fontId="2" fillId="0" borderId="41" xfId="6" applyBorder="1"/>
    <xf numFmtId="0" fontId="4" fillId="15" borderId="0" xfId="2" applyFill="1"/>
    <xf numFmtId="0" fontId="4" fillId="15" borderId="69" xfId="2" applyFill="1" applyBorder="1"/>
    <xf numFmtId="0" fontId="4" fillId="15" borderId="5" xfId="2" applyFill="1" applyBorder="1"/>
    <xf numFmtId="0" fontId="4" fillId="15" borderId="27" xfId="2" applyFill="1" applyBorder="1"/>
    <xf numFmtId="0" fontId="4" fillId="15" borderId="54" xfId="2" applyFill="1" applyBorder="1"/>
    <xf numFmtId="0" fontId="4" fillId="0" borderId="15" xfId="2" applyBorder="1"/>
    <xf numFmtId="0" fontId="4" fillId="0" borderId="16" xfId="2" applyBorder="1"/>
    <xf numFmtId="0" fontId="4" fillId="15" borderId="9" xfId="2" applyFill="1" applyBorder="1"/>
    <xf numFmtId="0" fontId="24" fillId="6" borderId="0" xfId="2" applyFont="1" applyFill="1"/>
    <xf numFmtId="0" fontId="24" fillId="0" borderId="0" xfId="2" applyFont="1"/>
    <xf numFmtId="0" fontId="3" fillId="0" borderId="0" xfId="2" applyFont="1" applyAlignment="1">
      <alignment horizontal="center"/>
    </xf>
    <xf numFmtId="0" fontId="3" fillId="3" borderId="0" xfId="2" applyFont="1" applyFill="1"/>
    <xf numFmtId="2" fontId="3" fillId="3" borderId="0" xfId="2" applyNumberFormat="1" applyFont="1" applyFill="1" applyAlignment="1">
      <alignment horizontal="center"/>
    </xf>
    <xf numFmtId="0" fontId="4" fillId="3" borderId="0" xfId="2" applyFill="1"/>
    <xf numFmtId="16" fontId="0" fillId="0" borderId="0" xfId="0" applyNumberFormat="1"/>
    <xf numFmtId="0" fontId="4" fillId="0" borderId="105" xfId="0" applyFont="1" applyBorder="1" applyAlignment="1">
      <alignment wrapText="1"/>
    </xf>
    <xf numFmtId="0" fontId="3" fillId="3" borderId="22"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11" xfId="0" applyFont="1" applyFill="1" applyBorder="1" applyAlignment="1">
      <alignment horizontal="center" vertical="center"/>
    </xf>
    <xf numFmtId="0" fontId="11" fillId="6" borderId="1" xfId="0" applyFont="1" applyFill="1" applyBorder="1" applyAlignment="1">
      <alignment horizontal="left"/>
    </xf>
    <xf numFmtId="0" fontId="11" fillId="6" borderId="0" xfId="0" applyFont="1" applyFill="1" applyAlignment="1">
      <alignment horizontal="left"/>
    </xf>
    <xf numFmtId="0" fontId="11" fillId="6" borderId="2" xfId="0" applyFont="1" applyFill="1" applyBorder="1" applyAlignment="1">
      <alignment horizontal="left"/>
    </xf>
    <xf numFmtId="0" fontId="3" fillId="6" borderId="77" xfId="0" applyFont="1" applyFill="1" applyBorder="1" applyAlignment="1">
      <alignment horizontal="center" vertical="center"/>
    </xf>
    <xf numFmtId="164" fontId="3" fillId="4" borderId="107" xfId="0" applyNumberFormat="1" applyFont="1" applyFill="1" applyBorder="1" applyAlignment="1">
      <alignment horizontal="center" vertical="center" wrapText="1"/>
    </xf>
    <xf numFmtId="164" fontId="25" fillId="4" borderId="33" xfId="0" applyNumberFormat="1" applyFont="1" applyFill="1" applyBorder="1" applyAlignment="1">
      <alignment horizontal="center" vertical="center" wrapText="1"/>
    </xf>
    <xf numFmtId="164" fontId="3" fillId="4" borderId="108" xfId="0" applyNumberFormat="1" applyFont="1" applyFill="1" applyBorder="1" applyAlignment="1">
      <alignment horizontal="center" vertical="center" wrapText="1"/>
    </xf>
    <xf numFmtId="164" fontId="27" fillId="4" borderId="108" xfId="0" applyNumberFormat="1" applyFont="1" applyFill="1" applyBorder="1" applyAlignment="1">
      <alignment horizontal="center" vertical="center"/>
    </xf>
    <xf numFmtId="164" fontId="27" fillId="4" borderId="107" xfId="0" applyNumberFormat="1" applyFont="1" applyFill="1" applyBorder="1" applyAlignment="1">
      <alignment horizontal="center" vertical="center"/>
    </xf>
    <xf numFmtId="164" fontId="3" fillId="0" borderId="107" xfId="0" applyNumberFormat="1" applyFont="1" applyBorder="1" applyAlignment="1">
      <alignment horizontal="center" vertical="center" wrapText="1"/>
    </xf>
    <xf numFmtId="164" fontId="3" fillId="0" borderId="108" xfId="0" applyNumberFormat="1" applyFont="1" applyBorder="1" applyAlignment="1">
      <alignment horizontal="center" vertical="center" wrapText="1"/>
    </xf>
    <xf numFmtId="0" fontId="0" fillId="0" borderId="108" xfId="0" applyBorder="1"/>
    <xf numFmtId="164" fontId="6" fillId="0" borderId="68" xfId="0" applyNumberFormat="1" applyFont="1" applyBorder="1" applyAlignment="1">
      <alignment horizontal="right"/>
    </xf>
    <xf numFmtId="164" fontId="4" fillId="0" borderId="68" xfId="0" applyNumberFormat="1" applyFont="1" applyBorder="1" applyAlignment="1" applyProtection="1">
      <alignment horizontal="right"/>
      <protection locked="0"/>
    </xf>
    <xf numFmtId="0" fontId="0" fillId="0" borderId="95" xfId="0" applyBorder="1" applyAlignment="1">
      <alignment horizontal="center" vertical="top"/>
    </xf>
    <xf numFmtId="16" fontId="0" fillId="0" borderId="0" xfId="0" applyNumberFormat="1" applyAlignment="1">
      <alignment vertical="top"/>
    </xf>
    <xf numFmtId="0" fontId="4" fillId="0" borderId="105" xfId="0" applyFont="1" applyBorder="1" applyAlignment="1">
      <alignment vertical="top" wrapText="1"/>
    </xf>
    <xf numFmtId="0" fontId="3" fillId="6" borderId="23" xfId="0" applyFont="1" applyFill="1" applyBorder="1" applyAlignment="1" applyProtection="1">
      <alignment horizontal="center" vertical="center"/>
      <protection locked="0"/>
    </xf>
    <xf numFmtId="0" fontId="4" fillId="6" borderId="23" xfId="2" applyFill="1" applyBorder="1" applyAlignment="1" applyProtection="1">
      <alignment horizontal="center"/>
      <protection locked="0"/>
    </xf>
    <xf numFmtId="0" fontId="3" fillId="0" borderId="23" xfId="2" applyFont="1" applyBorder="1" applyAlignment="1" applyProtection="1">
      <alignment horizontal="center"/>
      <protection locked="0"/>
    </xf>
    <xf numFmtId="0" fontId="4" fillId="0" borderId="23" xfId="2" applyBorder="1" applyAlignment="1" applyProtection="1">
      <alignment horizontal="center"/>
      <protection locked="0"/>
    </xf>
    <xf numFmtId="164" fontId="4" fillId="6" borderId="41" xfId="2" applyNumberFormat="1" applyFill="1" applyBorder="1" applyAlignment="1" applyProtection="1">
      <alignment horizontal="center" vertical="center"/>
      <protection locked="0"/>
    </xf>
    <xf numFmtId="164" fontId="4" fillId="6" borderId="62" xfId="2" applyNumberFormat="1" applyFill="1" applyBorder="1" applyAlignment="1" applyProtection="1">
      <alignment horizontal="center" vertical="center"/>
      <protection locked="0"/>
    </xf>
    <xf numFmtId="164" fontId="4" fillId="6" borderId="39" xfId="2" applyNumberFormat="1" applyFill="1" applyBorder="1" applyAlignment="1" applyProtection="1">
      <alignment horizontal="center" vertical="center"/>
      <protection locked="0"/>
    </xf>
    <xf numFmtId="0" fontId="3" fillId="0" borderId="41" xfId="2" applyFont="1" applyBorder="1" applyAlignment="1" applyProtection="1">
      <alignment horizontal="center"/>
      <protection locked="0"/>
    </xf>
    <xf numFmtId="0" fontId="4" fillId="6" borderId="77" xfId="0" applyFont="1" applyFill="1" applyBorder="1" applyAlignment="1" applyProtection="1">
      <alignment vertical="center"/>
      <protection locked="0"/>
    </xf>
    <xf numFmtId="0" fontId="4" fillId="6" borderId="49" xfId="0" applyFont="1" applyFill="1" applyBorder="1" applyAlignment="1" applyProtection="1">
      <alignment vertical="center"/>
      <protection locked="0"/>
    </xf>
    <xf numFmtId="0" fontId="6" fillId="4" borderId="19" xfId="0" applyFont="1" applyFill="1" applyBorder="1" applyAlignment="1">
      <alignment horizontal="left"/>
    </xf>
    <xf numFmtId="0" fontId="3" fillId="6" borderId="41" xfId="0" applyFont="1" applyFill="1" applyBorder="1" applyAlignment="1">
      <alignment horizontal="center" vertical="center"/>
    </xf>
    <xf numFmtId="0" fontId="6" fillId="4" borderId="63" xfId="0" applyFont="1" applyFill="1" applyBorder="1"/>
    <xf numFmtId="164" fontId="6" fillId="4" borderId="6" xfId="0" applyNumberFormat="1" applyFont="1" applyFill="1" applyBorder="1" applyAlignment="1">
      <alignment horizontal="left"/>
    </xf>
    <xf numFmtId="14" fontId="3" fillId="6" borderId="41" xfId="0" applyNumberFormat="1" applyFont="1" applyFill="1" applyBorder="1" applyAlignment="1" applyProtection="1">
      <alignment vertical="center"/>
      <protection locked="0"/>
    </xf>
    <xf numFmtId="164" fontId="6" fillId="4" borderId="112" xfId="0" applyNumberFormat="1" applyFont="1" applyFill="1" applyBorder="1" applyAlignment="1">
      <alignment horizontal="right"/>
    </xf>
    <xf numFmtId="164" fontId="6" fillId="0" borderId="113" xfId="0" applyNumberFormat="1" applyFont="1" applyBorder="1" applyAlignment="1">
      <alignment horizontal="right"/>
    </xf>
    <xf numFmtId="164" fontId="0" fillId="2" borderId="114" xfId="0" applyNumberFormat="1" applyFill="1" applyBorder="1" applyAlignment="1" applyProtection="1">
      <alignment horizontal="right" indent="1"/>
      <protection locked="0"/>
    </xf>
    <xf numFmtId="1" fontId="0" fillId="2" borderId="117" xfId="0" applyNumberFormat="1" applyFill="1" applyBorder="1" applyAlignment="1" applyProtection="1">
      <alignment horizontal="center"/>
      <protection locked="0"/>
    </xf>
    <xf numFmtId="164" fontId="6" fillId="0" borderId="0" xfId="0" applyNumberFormat="1" applyFont="1" applyAlignment="1">
      <alignment horizontal="right"/>
    </xf>
    <xf numFmtId="164" fontId="6" fillId="4" borderId="118" xfId="0" applyNumberFormat="1" applyFont="1" applyFill="1" applyBorder="1" applyAlignment="1">
      <alignment horizontal="right"/>
    </xf>
    <xf numFmtId="164" fontId="8" fillId="4" borderId="64" xfId="0" applyNumberFormat="1" applyFont="1" applyFill="1" applyBorder="1" applyAlignment="1">
      <alignment horizontal="right"/>
    </xf>
    <xf numFmtId="0" fontId="0" fillId="3" borderId="14" xfId="0" applyFill="1" applyBorder="1" applyAlignment="1">
      <alignment vertical="center"/>
    </xf>
    <xf numFmtId="0" fontId="3" fillId="3" borderId="83" xfId="0" applyFont="1" applyFill="1" applyBorder="1" applyAlignment="1">
      <alignment horizontal="center" vertical="center" wrapText="1"/>
    </xf>
    <xf numFmtId="164" fontId="6" fillId="0" borderId="110" xfId="0" applyNumberFormat="1" applyFont="1" applyBorder="1" applyAlignment="1">
      <alignment horizontal="right"/>
    </xf>
    <xf numFmtId="164" fontId="6" fillId="0" borderId="116" xfId="0" applyNumberFormat="1" applyFont="1" applyBorder="1" applyAlignment="1">
      <alignment horizontal="right"/>
    </xf>
    <xf numFmtId="164" fontId="6" fillId="0" borderId="119" xfId="0" applyNumberFormat="1" applyFont="1" applyBorder="1" applyAlignment="1">
      <alignment horizontal="right"/>
    </xf>
    <xf numFmtId="164" fontId="0" fillId="2" borderId="54" xfId="0" applyNumberFormat="1" applyFill="1" applyBorder="1" applyAlignment="1" applyProtection="1">
      <alignment horizontal="right" indent="1"/>
      <protection locked="0"/>
    </xf>
    <xf numFmtId="164" fontId="4" fillId="4" borderId="63" xfId="0" applyNumberFormat="1" applyFont="1" applyFill="1" applyBorder="1" applyAlignment="1">
      <alignment horizontal="right" indent="1"/>
    </xf>
    <xf numFmtId="164" fontId="4" fillId="4" borderId="29" xfId="0" applyNumberFormat="1" applyFont="1" applyFill="1" applyBorder="1" applyAlignment="1">
      <alignment horizontal="right" indent="1"/>
    </xf>
    <xf numFmtId="164" fontId="4" fillId="4" borderId="30" xfId="0" applyNumberFormat="1" applyFont="1" applyFill="1" applyBorder="1" applyAlignment="1">
      <alignment horizontal="right" indent="1"/>
    </xf>
    <xf numFmtId="0" fontId="3" fillId="3" borderId="85" xfId="0" applyFont="1" applyFill="1" applyBorder="1" applyAlignment="1">
      <alignment horizontal="center" vertical="center" wrapText="1"/>
    </xf>
    <xf numFmtId="0" fontId="6" fillId="4" borderId="13" xfId="0" applyFont="1" applyFill="1" applyBorder="1"/>
    <xf numFmtId="0" fontId="6" fillId="4" borderId="115" xfId="0" applyFont="1" applyFill="1" applyBorder="1"/>
    <xf numFmtId="0" fontId="6" fillId="4" borderId="7" xfId="0" applyFont="1" applyFill="1" applyBorder="1" applyAlignment="1">
      <alignment horizontal="left"/>
    </xf>
    <xf numFmtId="164" fontId="4" fillId="0" borderId="110" xfId="0" applyNumberFormat="1" applyFont="1" applyBorder="1" applyAlignment="1" applyProtection="1">
      <alignment horizontal="right"/>
      <protection locked="0"/>
    </xf>
    <xf numFmtId="164" fontId="4" fillId="0" borderId="18" xfId="0" applyNumberFormat="1" applyFont="1" applyBorder="1" applyAlignment="1" applyProtection="1">
      <alignment horizontal="right"/>
      <protection locked="0"/>
    </xf>
    <xf numFmtId="164" fontId="3" fillId="2" borderId="63" xfId="0" applyNumberFormat="1" applyFont="1" applyFill="1" applyBorder="1" applyAlignment="1">
      <alignment horizontal="right" indent="1"/>
    </xf>
    <xf numFmtId="164" fontId="0" fillId="2" borderId="29" xfId="0" applyNumberFormat="1" applyFill="1" applyBorder="1" applyAlignment="1" applyProtection="1">
      <alignment horizontal="right" indent="1"/>
      <protection locked="0"/>
    </xf>
    <xf numFmtId="164" fontId="4" fillId="2" borderId="29" xfId="0" applyNumberFormat="1" applyFont="1" applyFill="1" applyBorder="1" applyAlignment="1" applyProtection="1">
      <alignment horizontal="right" indent="1"/>
      <protection locked="0"/>
    </xf>
    <xf numFmtId="164" fontId="0" fillId="2" borderId="115" xfId="0" applyNumberFormat="1" applyFill="1" applyBorder="1" applyAlignment="1" applyProtection="1">
      <alignment horizontal="right" indent="1"/>
      <protection locked="0"/>
    </xf>
    <xf numFmtId="164" fontId="0" fillId="2" borderId="30" xfId="0" applyNumberFormat="1" applyFill="1" applyBorder="1" applyAlignment="1" applyProtection="1">
      <alignment horizontal="right" indent="1"/>
      <protection locked="0"/>
    </xf>
    <xf numFmtId="164" fontId="3" fillId="4" borderId="64" xfId="0" applyNumberFormat="1" applyFont="1" applyFill="1" applyBorder="1" applyAlignment="1">
      <alignment horizontal="right" indent="1"/>
    </xf>
    <xf numFmtId="164" fontId="4" fillId="4" borderId="28" xfId="0" applyNumberFormat="1" applyFont="1" applyFill="1" applyBorder="1" applyAlignment="1">
      <alignment horizontal="right" indent="1"/>
    </xf>
    <xf numFmtId="164" fontId="4" fillId="4" borderId="17" xfId="0" applyNumberFormat="1" applyFont="1" applyFill="1" applyBorder="1" applyAlignment="1">
      <alignment horizontal="right" indent="1"/>
    </xf>
    <xf numFmtId="164" fontId="4" fillId="4" borderId="32" xfId="0" applyNumberFormat="1" applyFont="1" applyFill="1" applyBorder="1" applyAlignment="1">
      <alignment horizontal="right" indent="1"/>
    </xf>
    <xf numFmtId="164" fontId="4" fillId="4" borderId="117" xfId="0" applyNumberFormat="1" applyFont="1" applyFill="1" applyBorder="1" applyAlignment="1">
      <alignment horizontal="right" indent="1"/>
    </xf>
    <xf numFmtId="164" fontId="4" fillId="4" borderId="9" xfId="0" applyNumberFormat="1" applyFont="1" applyFill="1" applyBorder="1" applyAlignment="1">
      <alignment horizontal="right" indent="1"/>
    </xf>
    <xf numFmtId="0" fontId="3" fillId="6" borderId="33"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6" xfId="0" applyFont="1" applyFill="1" applyBorder="1" applyAlignment="1">
      <alignment horizontal="center" vertical="center" wrapText="1"/>
    </xf>
    <xf numFmtId="164" fontId="3" fillId="6" borderId="32" xfId="0" applyNumberFormat="1" applyFont="1" applyFill="1" applyBorder="1" applyAlignment="1">
      <alignment horizontal="center" vertical="center" wrapText="1"/>
    </xf>
    <xf numFmtId="164" fontId="3" fillId="6" borderId="32" xfId="0" applyNumberFormat="1" applyFont="1" applyFill="1" applyBorder="1" applyAlignment="1">
      <alignment horizontal="center" vertical="center"/>
    </xf>
    <xf numFmtId="164" fontId="25" fillId="6" borderId="32" xfId="0" applyNumberFormat="1" applyFont="1" applyFill="1" applyBorder="1" applyAlignment="1">
      <alignment horizontal="center" vertical="center" wrapText="1"/>
    </xf>
    <xf numFmtId="164" fontId="3" fillId="6" borderId="10" xfId="0" applyNumberFormat="1" applyFont="1" applyFill="1" applyBorder="1" applyAlignment="1">
      <alignment horizontal="center" vertical="center"/>
    </xf>
    <xf numFmtId="164" fontId="3" fillId="6" borderId="10" xfId="0" applyNumberFormat="1" applyFont="1" applyFill="1" applyBorder="1" applyAlignment="1">
      <alignment horizontal="center" vertical="center" wrapText="1"/>
    </xf>
    <xf numFmtId="164" fontId="27" fillId="6" borderId="10" xfId="0" applyNumberFormat="1" applyFont="1" applyFill="1" applyBorder="1" applyAlignment="1">
      <alignment horizontal="center" vertical="center"/>
    </xf>
    <xf numFmtId="164" fontId="27" fillId="6" borderId="32" xfId="0" applyNumberFormat="1" applyFont="1" applyFill="1" applyBorder="1" applyAlignment="1">
      <alignment horizontal="center" vertical="center"/>
    </xf>
    <xf numFmtId="164" fontId="6" fillId="0" borderId="32" xfId="0" applyNumberFormat="1" applyFont="1" applyBorder="1" applyAlignment="1">
      <alignment horizontal="right"/>
    </xf>
    <xf numFmtId="164" fontId="6" fillId="0" borderId="3" xfId="0" applyNumberFormat="1" applyFont="1" applyBorder="1" applyAlignment="1">
      <alignment horizontal="right"/>
    </xf>
    <xf numFmtId="164" fontId="6" fillId="0" borderId="114" xfId="0" applyNumberFormat="1" applyFont="1" applyBorder="1" applyAlignment="1">
      <alignment horizontal="right"/>
    </xf>
    <xf numFmtId="164" fontId="6" fillId="0" borderId="54" xfId="0" applyNumberFormat="1" applyFont="1" applyBorder="1" applyAlignment="1">
      <alignment horizontal="right"/>
    </xf>
    <xf numFmtId="164" fontId="6" fillId="0" borderId="117" xfId="0" applyNumberFormat="1" applyFont="1" applyBorder="1" applyAlignment="1">
      <alignment horizontal="right"/>
    </xf>
    <xf numFmtId="164" fontId="6" fillId="0" borderId="10" xfId="0" applyNumberFormat="1" applyFont="1" applyBorder="1" applyAlignment="1">
      <alignment horizontal="right"/>
    </xf>
    <xf numFmtId="0" fontId="33" fillId="12" borderId="0" xfId="2" applyFont="1" applyFill="1"/>
    <xf numFmtId="2" fontId="3" fillId="12" borderId="0" xfId="2" applyNumberFormat="1" applyFont="1" applyFill="1" applyAlignment="1">
      <alignment horizontal="center"/>
    </xf>
    <xf numFmtId="0" fontId="3" fillId="12" borderId="0" xfId="2" applyFont="1" applyFill="1"/>
    <xf numFmtId="164" fontId="3" fillId="4" borderId="48" xfId="0" applyNumberFormat="1" applyFont="1" applyFill="1" applyBorder="1" applyAlignment="1">
      <alignment horizontal="center"/>
    </xf>
    <xf numFmtId="164" fontId="3" fillId="4" borderId="41" xfId="0" applyNumberFormat="1" applyFont="1" applyFill="1" applyBorder="1" applyAlignment="1">
      <alignment horizontal="center"/>
    </xf>
    <xf numFmtId="164" fontId="0" fillId="0" borderId="23" xfId="0" applyNumberForma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1" fontId="3" fillId="0" borderId="54" xfId="0" applyNumberFormat="1" applyFont="1" applyBorder="1" applyAlignment="1">
      <alignment horizontal="center" vertical="center"/>
    </xf>
    <xf numFmtId="164" fontId="0" fillId="0" borderId="44" xfId="0" applyNumberFormat="1" applyBorder="1"/>
    <xf numFmtId="2" fontId="3" fillId="3" borderId="39" xfId="0" applyNumberFormat="1" applyFont="1" applyFill="1" applyBorder="1" applyAlignment="1">
      <alignment horizontal="center" vertical="center"/>
    </xf>
    <xf numFmtId="2" fontId="3" fillId="3" borderId="59" xfId="0" applyNumberFormat="1" applyFont="1" applyFill="1" applyBorder="1" applyAlignment="1">
      <alignment horizontal="center" vertical="center"/>
    </xf>
    <xf numFmtId="0" fontId="3" fillId="3" borderId="58" xfId="0" applyFont="1" applyFill="1" applyBorder="1" applyAlignment="1">
      <alignment horizontal="center" vertical="center"/>
    </xf>
    <xf numFmtId="0" fontId="3" fillId="3" borderId="80" xfId="0" applyFont="1" applyFill="1" applyBorder="1" applyAlignment="1">
      <alignment horizontal="center" vertical="center"/>
    </xf>
    <xf numFmtId="0" fontId="0" fillId="0" borderId="38"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4" fillId="6" borderId="83" xfId="0" applyFont="1" applyFill="1" applyBorder="1" applyAlignment="1" applyProtection="1">
      <alignment horizontal="center" vertical="center"/>
      <protection locked="0"/>
    </xf>
    <xf numFmtId="0" fontId="0" fillId="6" borderId="11" xfId="0" applyFill="1" applyBorder="1" applyAlignment="1" applyProtection="1">
      <alignment horizontal="center" vertical="center"/>
      <protection locked="0"/>
    </xf>
    <xf numFmtId="14" fontId="0" fillId="6" borderId="15" xfId="0" applyNumberFormat="1" applyFill="1" applyBorder="1" applyAlignment="1" applyProtection="1">
      <alignment horizontal="center" vertical="center"/>
      <protection locked="0"/>
    </xf>
    <xf numFmtId="0" fontId="0" fillId="6" borderId="15" xfId="0" applyFill="1" applyBorder="1" applyAlignment="1" applyProtection="1">
      <alignment horizontal="center" vertical="center"/>
      <protection locked="0"/>
    </xf>
    <xf numFmtId="0" fontId="0" fillId="6" borderId="81" xfId="0" applyFill="1" applyBorder="1" applyAlignment="1" applyProtection="1">
      <alignment horizontal="center" vertical="center"/>
      <protection locked="0"/>
    </xf>
    <xf numFmtId="0" fontId="0" fillId="6" borderId="18" xfId="0" applyFill="1" applyBorder="1" applyAlignment="1" applyProtection="1">
      <alignment horizontal="center" vertical="center"/>
      <protection locked="0"/>
    </xf>
    <xf numFmtId="0" fontId="0" fillId="6" borderId="80" xfId="0" applyFill="1" applyBorder="1" applyAlignment="1" applyProtection="1">
      <alignment horizontal="center" vertical="center"/>
      <protection locked="0"/>
    </xf>
    <xf numFmtId="0" fontId="4" fillId="6" borderId="78" xfId="0" applyFont="1" applyFill="1" applyBorder="1" applyAlignment="1" applyProtection="1">
      <alignment horizontal="center" vertical="center"/>
      <protection locked="0"/>
    </xf>
    <xf numFmtId="0" fontId="4" fillId="6" borderId="76" xfId="0" applyFont="1" applyFill="1" applyBorder="1" applyAlignment="1" applyProtection="1">
      <alignment horizontal="center" vertical="center"/>
      <protection locked="0"/>
    </xf>
    <xf numFmtId="2" fontId="3" fillId="3" borderId="43" xfId="0" applyNumberFormat="1" applyFont="1" applyFill="1" applyBorder="1" applyAlignment="1">
      <alignment horizontal="center" vertical="center"/>
    </xf>
    <xf numFmtId="0" fontId="3" fillId="3" borderId="77"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82" xfId="0" applyFont="1" applyFill="1" applyBorder="1" applyAlignment="1">
      <alignment horizontal="center" vertical="center"/>
    </xf>
    <xf numFmtId="0" fontId="3" fillId="3" borderId="84" xfId="0" applyFont="1" applyFill="1" applyBorder="1" applyAlignment="1">
      <alignment horizontal="center" vertical="center"/>
    </xf>
    <xf numFmtId="0" fontId="3" fillId="3" borderId="87" xfId="0" applyFont="1" applyFill="1" applyBorder="1" applyAlignment="1">
      <alignment horizontal="center" vertical="center"/>
    </xf>
    <xf numFmtId="0" fontId="4" fillId="6" borderId="77" xfId="0" applyFont="1" applyFill="1" applyBorder="1" applyAlignment="1" applyProtection="1">
      <alignment horizontal="left" vertical="center"/>
      <protection locked="0"/>
    </xf>
    <xf numFmtId="0" fontId="4" fillId="6" borderId="49" xfId="0" applyFont="1" applyFill="1" applyBorder="1" applyAlignment="1" applyProtection="1">
      <alignment horizontal="left" vertical="center"/>
      <protection locked="0"/>
    </xf>
    <xf numFmtId="0" fontId="4" fillId="6" borderId="55" xfId="0" applyFont="1" applyFill="1" applyBorder="1" applyAlignment="1" applyProtection="1">
      <alignment horizontal="left"/>
      <protection locked="0"/>
    </xf>
    <xf numFmtId="0" fontId="4" fillId="6" borderId="49" xfId="0" applyFont="1" applyFill="1" applyBorder="1" applyAlignment="1" applyProtection="1">
      <alignment horizontal="left"/>
      <protection locked="0"/>
    </xf>
    <xf numFmtId="0" fontId="4" fillId="6" borderId="55" xfId="0" applyFont="1" applyFill="1" applyBorder="1" applyAlignment="1" applyProtection="1">
      <alignment horizontal="left" vertical="center"/>
      <protection locked="0"/>
    </xf>
    <xf numFmtId="2" fontId="3" fillId="3" borderId="57" xfId="0" applyNumberFormat="1" applyFont="1" applyFill="1" applyBorder="1" applyAlignment="1">
      <alignment horizontal="center" vertical="center"/>
    </xf>
    <xf numFmtId="0" fontId="0" fillId="6" borderId="38" xfId="0" applyFill="1" applyBorder="1" applyAlignment="1" applyProtection="1">
      <alignment horizontal="center" vertical="center"/>
      <protection locked="0"/>
    </xf>
    <xf numFmtId="2" fontId="3" fillId="3" borderId="70" xfId="0" applyNumberFormat="1" applyFont="1" applyFill="1" applyBorder="1" applyAlignment="1">
      <alignment horizontal="center" vertical="center"/>
    </xf>
    <xf numFmtId="2" fontId="3" fillId="3" borderId="67" xfId="0" applyNumberFormat="1" applyFont="1" applyFill="1" applyBorder="1" applyAlignment="1">
      <alignment horizontal="center" vertical="center"/>
    </xf>
    <xf numFmtId="2" fontId="3" fillId="3" borderId="82" xfId="0" applyNumberFormat="1" applyFont="1" applyFill="1" applyBorder="1" applyAlignment="1">
      <alignment horizontal="center" vertical="center"/>
    </xf>
    <xf numFmtId="2" fontId="3" fillId="3" borderId="44" xfId="0" applyNumberFormat="1" applyFont="1" applyFill="1" applyBorder="1" applyAlignment="1">
      <alignment horizontal="center" vertical="center"/>
    </xf>
    <xf numFmtId="0" fontId="3" fillId="6" borderId="14" xfId="0" applyFont="1" applyFill="1" applyBorder="1" applyAlignment="1">
      <alignment horizontal="left" vertical="center" indent="1"/>
    </xf>
    <xf numFmtId="0" fontId="3" fillId="6" borderId="15" xfId="0" applyFont="1" applyFill="1" applyBorder="1" applyAlignment="1">
      <alignment horizontal="left" vertical="center" indent="1"/>
    </xf>
    <xf numFmtId="0" fontId="0" fillId="0" borderId="15" xfId="0" applyBorder="1" applyAlignment="1">
      <alignment horizontal="left" vertical="center" indent="1"/>
    </xf>
    <xf numFmtId="0" fontId="0" fillId="0" borderId="16" xfId="0" applyBorder="1" applyAlignment="1">
      <alignment horizontal="left" vertical="center" indent="1"/>
    </xf>
    <xf numFmtId="0" fontId="3" fillId="6" borderId="13" xfId="0" applyFont="1" applyFill="1" applyBorder="1" applyAlignment="1">
      <alignment horizontal="left" vertical="center" indent="1"/>
    </xf>
    <xf numFmtId="0" fontId="3" fillId="6" borderId="18" xfId="0" applyFont="1" applyFill="1" applyBorder="1" applyAlignment="1">
      <alignment horizontal="left" vertical="center" indent="1"/>
    </xf>
    <xf numFmtId="0" fontId="0" fillId="0" borderId="18" xfId="0" applyBorder="1" applyAlignment="1">
      <alignment horizontal="left" vertical="center" indent="1"/>
    </xf>
    <xf numFmtId="0" fontId="0" fillId="0" borderId="17" xfId="0" applyBorder="1" applyAlignment="1">
      <alignment horizontal="left" vertical="center" indent="1"/>
    </xf>
    <xf numFmtId="0" fontId="7" fillId="3" borderId="35" xfId="0" applyFont="1" applyFill="1" applyBorder="1" applyAlignment="1">
      <alignment horizontal="center" vertical="center"/>
    </xf>
    <xf numFmtId="0" fontId="7" fillId="3" borderId="23"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42" xfId="0" applyFont="1" applyFill="1" applyBorder="1" applyAlignment="1">
      <alignment horizontal="center" vertical="center"/>
    </xf>
    <xf numFmtId="0" fontId="3" fillId="0" borderId="22" xfId="0" applyFont="1" applyBorder="1" applyAlignment="1" applyProtection="1">
      <alignment horizontal="left" vertical="center" indent="1"/>
      <protection locked="0"/>
    </xf>
    <xf numFmtId="0" fontId="3" fillId="0" borderId="41" xfId="0" applyFont="1" applyBorder="1" applyAlignment="1" applyProtection="1">
      <alignment horizontal="left" vertical="center" indent="1"/>
      <protection locked="0"/>
    </xf>
    <xf numFmtId="2" fontId="3" fillId="6" borderId="48" xfId="0" applyNumberFormat="1" applyFont="1" applyFill="1" applyBorder="1" applyAlignment="1" applyProtection="1">
      <alignment horizontal="center" vertical="center"/>
      <protection locked="0"/>
    </xf>
    <xf numFmtId="2" fontId="3" fillId="6" borderId="41" xfId="0" applyNumberFormat="1" applyFont="1" applyFill="1" applyBorder="1" applyAlignment="1" applyProtection="1">
      <alignment horizontal="center" vertical="center"/>
      <protection locked="0"/>
    </xf>
    <xf numFmtId="0" fontId="7" fillId="3" borderId="36" xfId="0" applyFont="1" applyFill="1" applyBorder="1" applyAlignment="1">
      <alignment horizontal="center" vertical="center"/>
    </xf>
    <xf numFmtId="0" fontId="7" fillId="3" borderId="41" xfId="0" applyFont="1" applyFill="1" applyBorder="1" applyAlignment="1">
      <alignment horizontal="center" vertical="center"/>
    </xf>
    <xf numFmtId="0" fontId="0" fillId="0" borderId="49"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3" fillId="3" borderId="22" xfId="0" applyFont="1" applyFill="1" applyBorder="1" applyAlignment="1">
      <alignment horizontal="center" vertical="center"/>
    </xf>
    <xf numFmtId="0" fontId="3" fillId="6" borderId="37" xfId="0" applyFont="1" applyFill="1" applyBorder="1" applyAlignment="1" applyProtection="1">
      <alignment horizontal="left" vertical="center" indent="1"/>
      <protection locked="0"/>
    </xf>
    <xf numFmtId="0" fontId="3" fillId="6" borderId="38" xfId="0" applyFont="1" applyFill="1" applyBorder="1" applyAlignment="1" applyProtection="1">
      <alignment horizontal="left" vertical="center" indent="1"/>
      <protection locked="0"/>
    </xf>
    <xf numFmtId="0" fontId="3" fillId="6" borderId="20" xfId="0" applyFont="1" applyFill="1" applyBorder="1" applyAlignment="1" applyProtection="1">
      <alignment horizontal="left" vertical="center" indent="1"/>
      <protection locked="0"/>
    </xf>
    <xf numFmtId="0" fontId="3" fillId="6" borderId="11" xfId="0" applyFont="1" applyFill="1" applyBorder="1" applyAlignment="1" applyProtection="1">
      <alignment horizontal="left" vertical="center" indent="1"/>
      <protection locked="0"/>
    </xf>
    <xf numFmtId="2" fontId="3" fillId="6" borderId="38" xfId="0" applyNumberFormat="1" applyFont="1" applyFill="1" applyBorder="1" applyAlignment="1" applyProtection="1">
      <alignment horizontal="center" vertical="center"/>
      <protection locked="0"/>
    </xf>
    <xf numFmtId="2" fontId="3" fillId="6" borderId="11" xfId="0" applyNumberFormat="1" applyFont="1" applyFill="1" applyBorder="1" applyAlignment="1" applyProtection="1">
      <alignment horizontal="center" vertical="center"/>
      <protection locked="0"/>
    </xf>
    <xf numFmtId="0" fontId="3" fillId="6" borderId="38" xfId="0" applyFont="1" applyFill="1" applyBorder="1" applyAlignment="1" applyProtection="1">
      <alignment horizontal="center" vertical="center"/>
      <protection locked="0"/>
    </xf>
    <xf numFmtId="0" fontId="3" fillId="6" borderId="11" xfId="0" applyFont="1" applyFill="1" applyBorder="1" applyAlignment="1" applyProtection="1">
      <alignment horizontal="center" vertical="center"/>
      <protection locked="0"/>
    </xf>
    <xf numFmtId="0" fontId="4" fillId="6" borderId="70" xfId="0" applyFont="1" applyFill="1" applyBorder="1" applyAlignment="1">
      <alignment horizontal="left" vertical="center" indent="1"/>
    </xf>
    <xf numFmtId="0" fontId="4" fillId="6" borderId="67" xfId="0" applyFont="1" applyFill="1" applyBorder="1" applyAlignment="1">
      <alignment horizontal="left" vertical="center" indent="1"/>
    </xf>
    <xf numFmtId="0" fontId="4" fillId="6" borderId="82" xfId="0" applyFont="1" applyFill="1" applyBorder="1" applyAlignment="1">
      <alignment horizontal="left" vertical="center" indent="1"/>
    </xf>
    <xf numFmtId="0" fontId="4" fillId="6" borderId="44" xfId="0" applyFont="1" applyFill="1" applyBorder="1" applyAlignment="1">
      <alignment horizontal="left" vertical="center" indent="1"/>
    </xf>
    <xf numFmtId="0" fontId="4" fillId="3" borderId="70"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3" borderId="6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7" xfId="0" applyFont="1" applyFill="1" applyBorder="1" applyAlignment="1">
      <alignment horizontal="center" vertical="center" wrapText="1"/>
    </xf>
    <xf numFmtId="2" fontId="3" fillId="3" borderId="13" xfId="0" applyNumberFormat="1" applyFont="1" applyFill="1" applyBorder="1" applyAlignment="1">
      <alignment horizontal="center" vertical="center"/>
    </xf>
    <xf numFmtId="2" fontId="3" fillId="3" borderId="80" xfId="0" applyNumberFormat="1" applyFont="1" applyFill="1" applyBorder="1" applyAlignment="1">
      <alignment horizontal="center" vertical="center"/>
    </xf>
    <xf numFmtId="0" fontId="3" fillId="3" borderId="83" xfId="0" applyFont="1" applyFill="1" applyBorder="1" applyAlignment="1">
      <alignment horizontal="center" vertical="center"/>
    </xf>
    <xf numFmtId="0" fontId="3" fillId="3" borderId="11" xfId="0" applyFont="1" applyFill="1" applyBorder="1" applyAlignment="1">
      <alignment horizontal="center" vertical="center"/>
    </xf>
    <xf numFmtId="14" fontId="4" fillId="6" borderId="15" xfId="0" applyNumberFormat="1" applyFont="1" applyFill="1"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6" borderId="23" xfId="0" applyFill="1" applyBorder="1" applyAlignment="1" applyProtection="1">
      <alignment horizontal="center" vertical="center"/>
      <protection locked="0"/>
    </xf>
    <xf numFmtId="0" fontId="3" fillId="0" borderId="14" xfId="0" applyFont="1" applyBorder="1" applyAlignment="1" applyProtection="1">
      <alignment horizontal="left" vertical="center" indent="1"/>
      <protection locked="0"/>
    </xf>
    <xf numFmtId="0" fontId="3" fillId="0" borderId="15" xfId="0" applyFont="1" applyBorder="1" applyAlignment="1" applyProtection="1">
      <alignment horizontal="left" vertical="center" indent="1"/>
      <protection locked="0"/>
    </xf>
    <xf numFmtId="0" fontId="3" fillId="0" borderId="81" xfId="0" applyFont="1" applyBorder="1" applyAlignment="1" applyProtection="1">
      <alignment horizontal="left" vertical="center" indent="1"/>
      <protection locked="0"/>
    </xf>
    <xf numFmtId="0" fontId="3" fillId="0" borderId="82" xfId="0" applyFont="1" applyBorder="1" applyAlignment="1" applyProtection="1">
      <alignment horizontal="left" vertical="center" indent="1"/>
      <protection locked="0"/>
    </xf>
    <xf numFmtId="0" fontId="3" fillId="0" borderId="84" xfId="0" applyFont="1" applyBorder="1" applyAlignment="1" applyProtection="1">
      <alignment horizontal="left" vertical="center" indent="1"/>
      <protection locked="0"/>
    </xf>
    <xf numFmtId="0" fontId="3" fillId="0" borderId="44" xfId="0" applyFont="1" applyBorder="1" applyAlignment="1" applyProtection="1">
      <alignment horizontal="left" vertical="center" indent="1"/>
      <protection locked="0"/>
    </xf>
    <xf numFmtId="0" fontId="11" fillId="6" borderId="13" xfId="0" applyFont="1" applyFill="1" applyBorder="1" applyAlignment="1">
      <alignment horizontal="left"/>
    </xf>
    <xf numFmtId="0" fontId="11" fillId="6" borderId="18" xfId="0" applyFont="1" applyFill="1" applyBorder="1" applyAlignment="1">
      <alignment horizontal="left"/>
    </xf>
    <xf numFmtId="0" fontId="11" fillId="6" borderId="17" xfId="0" applyFont="1" applyFill="1" applyBorder="1" applyAlignment="1">
      <alignment horizontal="left"/>
    </xf>
    <xf numFmtId="0" fontId="0" fillId="3" borderId="22" xfId="0" applyFill="1" applyBorder="1" applyAlignment="1">
      <alignment horizontal="center" vertical="center"/>
    </xf>
    <xf numFmtId="0" fontId="3" fillId="3" borderId="34"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23" xfId="0" applyFont="1" applyFill="1" applyBorder="1" applyAlignment="1">
      <alignment horizontal="center" vertical="center"/>
    </xf>
    <xf numFmtId="0" fontId="0" fillId="6" borderId="39" xfId="0" applyFill="1" applyBorder="1" applyAlignment="1" applyProtection="1">
      <alignment horizontal="center" vertical="center"/>
      <protection locked="0"/>
    </xf>
    <xf numFmtId="0" fontId="0" fillId="6" borderId="59" xfId="0" applyFill="1" applyBorder="1" applyAlignment="1" applyProtection="1">
      <alignment horizontal="center" vertical="center"/>
      <protection locked="0"/>
    </xf>
    <xf numFmtId="0" fontId="11" fillId="3" borderId="22" xfId="0" applyFont="1" applyFill="1" applyBorder="1" applyAlignment="1">
      <alignment horizontal="center" vertical="center"/>
    </xf>
    <xf numFmtId="0" fontId="11" fillId="3" borderId="24"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22" xfId="0" applyFont="1" applyFill="1" applyBorder="1" applyAlignment="1">
      <alignment horizontal="center" vertical="center"/>
    </xf>
    <xf numFmtId="0" fontId="3" fillId="3" borderId="73" xfId="0" applyFont="1" applyFill="1" applyBorder="1" applyAlignment="1">
      <alignment horizontal="center" vertical="center"/>
    </xf>
    <xf numFmtId="0" fontId="4" fillId="6" borderId="74" xfId="0" applyFont="1" applyFill="1" applyBorder="1" applyAlignment="1" applyProtection="1">
      <alignment horizontal="center" vertical="center"/>
      <protection locked="0"/>
    </xf>
    <xf numFmtId="2" fontId="3" fillId="3" borderId="1" xfId="0" applyNumberFormat="1" applyFont="1" applyFill="1" applyBorder="1" applyAlignment="1">
      <alignment horizontal="center" vertical="center"/>
    </xf>
    <xf numFmtId="2" fontId="3" fillId="3" borderId="86" xfId="0" applyNumberFormat="1" applyFont="1" applyFill="1" applyBorder="1" applyAlignment="1">
      <alignment horizontal="center" vertical="center"/>
    </xf>
    <xf numFmtId="2" fontId="3" fillId="6" borderId="41" xfId="0" applyNumberFormat="1" applyFont="1" applyFill="1" applyBorder="1" applyAlignment="1">
      <alignment horizontal="center" vertical="center"/>
    </xf>
    <xf numFmtId="0" fontId="3" fillId="3" borderId="70"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67"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8" xfId="0" applyFont="1" applyFill="1" applyBorder="1" applyAlignment="1">
      <alignment horizontal="center" vertical="center"/>
    </xf>
    <xf numFmtId="0" fontId="0" fillId="6" borderId="85" xfId="0" applyFill="1" applyBorder="1" applyAlignment="1" applyProtection="1">
      <alignment horizontal="center" vertical="center"/>
      <protection locked="0"/>
    </xf>
    <xf numFmtId="0" fontId="3" fillId="3" borderId="36"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14" fontId="4" fillId="6" borderId="41" xfId="2" applyNumberFormat="1" applyFill="1" applyBorder="1" applyAlignment="1" applyProtection="1">
      <alignment horizontal="center" vertical="center"/>
      <protection locked="0"/>
    </xf>
    <xf numFmtId="0" fontId="4" fillId="6" borderId="41" xfId="2" applyFill="1" applyBorder="1" applyAlignment="1" applyProtection="1">
      <alignment horizontal="center" vertical="center"/>
      <protection locked="0"/>
    </xf>
    <xf numFmtId="0" fontId="3" fillId="3" borderId="22"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6" borderId="41" xfId="0" applyFont="1" applyFill="1" applyBorder="1" applyAlignment="1" applyProtection="1">
      <alignment horizontal="center" vertical="center"/>
      <protection locked="0"/>
    </xf>
    <xf numFmtId="0" fontId="3" fillId="6" borderId="23" xfId="0" applyFont="1" applyFill="1" applyBorder="1" applyAlignment="1" applyProtection="1">
      <alignment horizontal="center" vertical="center"/>
      <protection locked="0"/>
    </xf>
    <xf numFmtId="164" fontId="4" fillId="6" borderId="39" xfId="2" applyNumberFormat="1" applyFill="1" applyBorder="1" applyAlignment="1" applyProtection="1">
      <alignment horizontal="center" vertical="center"/>
      <protection locked="0"/>
    </xf>
    <xf numFmtId="164" fontId="4" fillId="6" borderId="43" xfId="2" applyNumberFormat="1" applyFill="1" applyBorder="1" applyAlignment="1" applyProtection="1">
      <alignment horizontal="center" vertical="center"/>
      <protection locked="0"/>
    </xf>
    <xf numFmtId="0" fontId="3" fillId="3" borderId="24" xfId="0" applyFont="1" applyFill="1" applyBorder="1" applyAlignment="1">
      <alignment horizontal="center" vertical="center"/>
    </xf>
    <xf numFmtId="2" fontId="3" fillId="6" borderId="42" xfId="0" applyNumberFormat="1" applyFont="1" applyFill="1" applyBorder="1" applyAlignment="1">
      <alignment horizontal="center" vertical="center"/>
    </xf>
    <xf numFmtId="164" fontId="3" fillId="6" borderId="23" xfId="0" applyNumberFormat="1" applyFont="1" applyFill="1" applyBorder="1" applyAlignment="1">
      <alignment horizontal="center" vertical="center"/>
    </xf>
    <xf numFmtId="164" fontId="3" fillId="6" borderId="25" xfId="0" applyNumberFormat="1" applyFont="1" applyFill="1" applyBorder="1" applyAlignment="1">
      <alignment horizontal="center" vertical="center"/>
    </xf>
    <xf numFmtId="2" fontId="3" fillId="6" borderId="23" xfId="0" applyNumberFormat="1" applyFont="1" applyFill="1" applyBorder="1" applyAlignment="1">
      <alignment horizontal="center" vertical="center"/>
    </xf>
    <xf numFmtId="0" fontId="3" fillId="3" borderId="35"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6" borderId="14" xfId="0" applyFont="1" applyFill="1" applyBorder="1" applyAlignment="1">
      <alignment horizontal="left"/>
    </xf>
    <xf numFmtId="0" fontId="3" fillId="6" borderId="15" xfId="0" applyFont="1" applyFill="1" applyBorder="1" applyAlignment="1">
      <alignment horizontal="left"/>
    </xf>
    <xf numFmtId="0" fontId="3" fillId="6" borderId="16" xfId="0" applyFont="1" applyFill="1" applyBorder="1" applyAlignment="1">
      <alignment horizontal="left"/>
    </xf>
    <xf numFmtId="0" fontId="9" fillId="6" borderId="0" xfId="0" applyFont="1" applyFill="1" applyAlignment="1">
      <alignment horizontal="center"/>
    </xf>
    <xf numFmtId="0" fontId="9" fillId="6" borderId="2" xfId="0" applyFont="1" applyFill="1" applyBorder="1" applyAlignment="1">
      <alignment horizontal="center"/>
    </xf>
    <xf numFmtId="0" fontId="3" fillId="3" borderId="88" xfId="0" applyFont="1" applyFill="1" applyBorder="1" applyAlignment="1">
      <alignment horizontal="center"/>
    </xf>
    <xf numFmtId="0" fontId="3" fillId="3" borderId="89" xfId="0" applyFont="1" applyFill="1" applyBorder="1" applyAlignment="1">
      <alignment horizontal="center"/>
    </xf>
    <xf numFmtId="0" fontId="3" fillId="3" borderId="90" xfId="0" applyFont="1" applyFill="1" applyBorder="1" applyAlignment="1">
      <alignment horizontal="center"/>
    </xf>
    <xf numFmtId="0" fontId="11" fillId="6" borderId="1" xfId="0" applyFont="1" applyFill="1" applyBorder="1" applyAlignment="1">
      <alignment horizontal="left"/>
    </xf>
    <xf numFmtId="0" fontId="11" fillId="6" borderId="0" xfId="0" applyFont="1" applyFill="1" applyAlignment="1">
      <alignment horizontal="left"/>
    </xf>
    <xf numFmtId="0" fontId="11" fillId="6" borderId="2" xfId="0" applyFont="1" applyFill="1" applyBorder="1" applyAlignment="1">
      <alignment horizontal="left"/>
    </xf>
    <xf numFmtId="0" fontId="11" fillId="6" borderId="70" xfId="0" applyFont="1" applyFill="1" applyBorder="1" applyAlignment="1">
      <alignment horizontal="left"/>
    </xf>
    <xf numFmtId="0" fontId="11" fillId="6" borderId="40" xfId="0" applyFont="1" applyFill="1" applyBorder="1" applyAlignment="1">
      <alignment horizontal="left"/>
    </xf>
    <xf numFmtId="0" fontId="11" fillId="6" borderId="62" xfId="0" applyFont="1" applyFill="1" applyBorder="1" applyAlignment="1">
      <alignment horizontal="left"/>
    </xf>
    <xf numFmtId="0" fontId="3" fillId="6" borderId="1" xfId="0" applyFont="1" applyFill="1" applyBorder="1" applyAlignment="1">
      <alignment horizontal="left"/>
    </xf>
    <xf numFmtId="0" fontId="3" fillId="6" borderId="0" xfId="0" applyFont="1" applyFill="1" applyAlignment="1">
      <alignment horizontal="left"/>
    </xf>
    <xf numFmtId="0" fontId="3" fillId="6" borderId="2" xfId="0" applyFont="1" applyFill="1" applyBorder="1" applyAlignment="1">
      <alignment horizontal="left"/>
    </xf>
    <xf numFmtId="0" fontId="3" fillId="6" borderId="13" xfId="0" applyFont="1" applyFill="1" applyBorder="1" applyAlignment="1">
      <alignment horizontal="left"/>
    </xf>
    <xf numFmtId="0" fontId="3" fillId="6" borderId="18" xfId="0" applyFont="1" applyFill="1" applyBorder="1" applyAlignment="1">
      <alignment horizontal="left"/>
    </xf>
    <xf numFmtId="0" fontId="3" fillId="6" borderId="17" xfId="0" applyFont="1" applyFill="1" applyBorder="1" applyAlignment="1">
      <alignment horizontal="left"/>
    </xf>
    <xf numFmtId="0" fontId="3" fillId="6" borderId="77" xfId="0" applyFont="1" applyFill="1"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3" borderId="77" xfId="0" applyFont="1" applyFill="1" applyBorder="1" applyAlignment="1">
      <alignment horizontal="center" vertical="center"/>
    </xf>
    <xf numFmtId="0" fontId="0" fillId="0" borderId="50" xfId="0" applyBorder="1" applyAlignment="1">
      <alignment horizontal="center" vertical="center"/>
    </xf>
    <xf numFmtId="0" fontId="0" fillId="0" borderId="49" xfId="0" applyBorder="1" applyAlignment="1">
      <alignment horizontal="center" vertical="center"/>
    </xf>
    <xf numFmtId="0" fontId="3" fillId="3" borderId="55"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49" xfId="0" applyFont="1" applyFill="1" applyBorder="1" applyAlignment="1">
      <alignment horizontal="center" vertical="center"/>
    </xf>
    <xf numFmtId="0" fontId="4" fillId="6" borderId="1" xfId="0" applyFont="1" applyFill="1" applyBorder="1" applyAlignment="1">
      <alignment horizontal="left"/>
    </xf>
    <xf numFmtId="0" fontId="4" fillId="6" borderId="0" xfId="0" applyFont="1" applyFill="1" applyAlignment="1">
      <alignment horizontal="left"/>
    </xf>
    <xf numFmtId="0" fontId="12" fillId="3" borderId="4" xfId="0" applyFont="1" applyFill="1" applyBorder="1" applyAlignment="1">
      <alignment horizontal="left"/>
    </xf>
    <xf numFmtId="0" fontId="12" fillId="3" borderId="45" xfId="0" applyFont="1" applyFill="1" applyBorder="1" applyAlignment="1">
      <alignment horizontal="left"/>
    </xf>
    <xf numFmtId="0" fontId="12" fillId="3" borderId="21" xfId="0" applyFont="1" applyFill="1" applyBorder="1" applyAlignment="1">
      <alignment horizontal="left"/>
    </xf>
    <xf numFmtId="0" fontId="12" fillId="3" borderId="4" xfId="0" applyFont="1" applyFill="1" applyBorder="1" applyAlignment="1">
      <alignment horizontal="left" vertical="center"/>
    </xf>
    <xf numFmtId="0" fontId="11" fillId="0" borderId="45" xfId="0" applyFont="1" applyBorder="1" applyAlignment="1">
      <alignment horizontal="left"/>
    </xf>
    <xf numFmtId="0" fontId="11" fillId="0" borderId="21" xfId="0" applyFont="1" applyBorder="1" applyAlignment="1">
      <alignment horizontal="left"/>
    </xf>
    <xf numFmtId="0" fontId="3" fillId="3" borderId="33" xfId="0" applyFont="1" applyFill="1" applyBorder="1" applyAlignment="1">
      <alignment horizontal="center" vertical="center"/>
    </xf>
    <xf numFmtId="0" fontId="0" fillId="3" borderId="54" xfId="0" applyFill="1" applyBorder="1" applyAlignment="1">
      <alignment vertical="center"/>
    </xf>
    <xf numFmtId="0" fontId="4" fillId="6" borderId="1" xfId="0" applyFont="1" applyFill="1" applyBorder="1" applyAlignment="1">
      <alignment horizontal="left" indent="1"/>
    </xf>
    <xf numFmtId="0" fontId="4" fillId="6" borderId="0" xfId="0" applyFont="1" applyFill="1" applyAlignment="1">
      <alignment horizontal="left" indent="1"/>
    </xf>
    <xf numFmtId="0" fontId="4" fillId="6" borderId="14" xfId="0" applyFont="1" applyFill="1" applyBorder="1" applyAlignment="1">
      <alignment horizontal="left"/>
    </xf>
    <xf numFmtId="0" fontId="4" fillId="6" borderId="15" xfId="0" applyFont="1" applyFill="1" applyBorder="1" applyAlignment="1">
      <alignment horizontal="left"/>
    </xf>
    <xf numFmtId="0" fontId="4" fillId="0" borderId="0" xfId="0" applyFont="1"/>
    <xf numFmtId="0" fontId="9" fillId="6" borderId="56" xfId="0" applyFont="1" applyFill="1" applyBorder="1" applyAlignment="1">
      <alignment horizontal="left" vertical="center" wrapText="1" indent="1"/>
    </xf>
    <xf numFmtId="0" fontId="9" fillId="0" borderId="61" xfId="0" applyFont="1" applyBorder="1" applyAlignment="1">
      <alignment horizontal="left" vertical="center" wrapText="1" indent="1"/>
    </xf>
    <xf numFmtId="0" fontId="9" fillId="0" borderId="61" xfId="0" applyFont="1" applyBorder="1" applyAlignment="1">
      <alignment horizontal="left" indent="1"/>
    </xf>
    <xf numFmtId="0" fontId="20" fillId="6" borderId="0" xfId="0" applyFont="1" applyFill="1" applyAlignment="1">
      <alignment horizontal="left" vertical="center" wrapText="1"/>
    </xf>
    <xf numFmtId="0" fontId="0" fillId="0" borderId="0" xfId="0" applyAlignment="1">
      <alignment wrapText="1"/>
    </xf>
    <xf numFmtId="0" fontId="9" fillId="6" borderId="20" xfId="0" applyFont="1" applyFill="1" applyBorder="1" applyAlignment="1">
      <alignment horizontal="left" vertical="center" wrapText="1" indent="1"/>
    </xf>
    <xf numFmtId="0" fontId="9" fillId="0" borderId="11" xfId="0" applyFont="1" applyBorder="1" applyAlignment="1">
      <alignment horizontal="left" vertical="center" wrapText="1" indent="1"/>
    </xf>
    <xf numFmtId="0" fontId="9" fillId="0" borderId="11" xfId="0" applyFont="1" applyBorder="1" applyAlignment="1">
      <alignment horizontal="left" indent="1"/>
    </xf>
    <xf numFmtId="0" fontId="9" fillId="6" borderId="77" xfId="0" applyFont="1" applyFill="1" applyBorder="1" applyAlignment="1">
      <alignment horizontal="left" indent="1"/>
    </xf>
    <xf numFmtId="0" fontId="9" fillId="6" borderId="50" xfId="0" applyFont="1" applyFill="1" applyBorder="1" applyAlignment="1">
      <alignment horizontal="left" indent="1"/>
    </xf>
    <xf numFmtId="0" fontId="9" fillId="6" borderId="78" xfId="0" applyFont="1" applyFill="1" applyBorder="1" applyAlignment="1">
      <alignment horizontal="left" indent="1"/>
    </xf>
    <xf numFmtId="0" fontId="9" fillId="6" borderId="40" xfId="0" applyFont="1" applyFill="1" applyBorder="1" applyAlignment="1">
      <alignment horizontal="left" indent="1"/>
    </xf>
    <xf numFmtId="0" fontId="20" fillId="6" borderId="0" xfId="0" applyFont="1" applyFill="1" applyAlignment="1">
      <alignment horizontal="left"/>
    </xf>
    <xf numFmtId="0" fontId="20" fillId="0" borderId="0" xfId="0" applyFont="1" applyAlignment="1">
      <alignment horizontal="left"/>
    </xf>
    <xf numFmtId="0" fontId="20" fillId="0" borderId="0" xfId="0" applyFont="1"/>
    <xf numFmtId="1" fontId="3" fillId="0" borderId="77" xfId="0" applyNumberFormat="1" applyFont="1" applyBorder="1" applyAlignment="1" applyProtection="1">
      <alignment horizontal="center"/>
      <protection locked="0"/>
    </xf>
    <xf numFmtId="1" fontId="3" fillId="0" borderId="49" xfId="0" applyNumberFormat="1" applyFont="1" applyBorder="1" applyAlignment="1" applyProtection="1">
      <alignment horizontal="center"/>
      <protection locked="0"/>
    </xf>
    <xf numFmtId="1" fontId="3" fillId="4" borderId="41" xfId="0" applyNumberFormat="1" applyFont="1" applyFill="1" applyBorder="1" applyAlignment="1">
      <alignment horizontal="center"/>
    </xf>
    <xf numFmtId="1" fontId="3" fillId="4" borderId="42" xfId="0" applyNumberFormat="1" applyFont="1" applyFill="1" applyBorder="1" applyAlignment="1">
      <alignment horizontal="center"/>
    </xf>
    <xf numFmtId="0" fontId="9" fillId="6" borderId="91" xfId="0" applyFont="1" applyFill="1" applyBorder="1" applyAlignment="1">
      <alignment horizontal="left" vertical="center" wrapText="1" indent="1"/>
    </xf>
    <xf numFmtId="0" fontId="9" fillId="0" borderId="83" xfId="0" applyFont="1" applyBorder="1" applyAlignment="1">
      <alignment horizontal="left" vertical="center" wrapText="1" indent="1"/>
    </xf>
    <xf numFmtId="0" fontId="9" fillId="0" borderId="83" xfId="0" applyFont="1" applyBorder="1" applyAlignment="1">
      <alignment horizontal="left" indent="1"/>
    </xf>
    <xf numFmtId="0" fontId="9" fillId="6" borderId="76" xfId="0" applyFont="1" applyFill="1" applyBorder="1" applyAlignment="1">
      <alignment horizontal="left" indent="1"/>
    </xf>
    <xf numFmtId="0" fontId="9" fillId="6" borderId="84" xfId="0" applyFont="1" applyFill="1" applyBorder="1" applyAlignment="1">
      <alignment horizontal="left" indent="1"/>
    </xf>
    <xf numFmtId="0" fontId="3" fillId="6" borderId="77" xfId="0" applyFont="1" applyFill="1" applyBorder="1" applyAlignment="1">
      <alignment horizontal="center" vertical="center"/>
    </xf>
    <xf numFmtId="0" fontId="0" fillId="0" borderId="106" xfId="0" applyBorder="1" applyAlignment="1">
      <alignment horizontal="center" vertical="center"/>
    </xf>
    <xf numFmtId="0" fontId="16" fillId="6" borderId="14" xfId="0" applyFont="1" applyFill="1" applyBorder="1" applyAlignment="1">
      <alignment horizontal="center" vertical="center"/>
    </xf>
    <xf numFmtId="0" fontId="16" fillId="6" borderId="15" xfId="0" applyFont="1" applyFill="1" applyBorder="1" applyAlignment="1">
      <alignment horizontal="center" vertical="center"/>
    </xf>
    <xf numFmtId="0" fontId="16" fillId="6" borderId="16" xfId="0" applyFont="1" applyFill="1" applyBorder="1" applyAlignment="1">
      <alignment horizontal="center" vertical="center"/>
    </xf>
    <xf numFmtId="0" fontId="16" fillId="6" borderId="1" xfId="0" applyFont="1" applyFill="1" applyBorder="1" applyAlignment="1">
      <alignment horizontal="center" vertical="center"/>
    </xf>
    <xf numFmtId="0" fontId="16" fillId="6" borderId="0" xfId="0" applyFont="1" applyFill="1" applyAlignment="1">
      <alignment horizontal="center" vertical="center"/>
    </xf>
    <xf numFmtId="0" fontId="16" fillId="6" borderId="2" xfId="0" applyFont="1" applyFill="1" applyBorder="1" applyAlignment="1">
      <alignment horizontal="center" vertical="center"/>
    </xf>
    <xf numFmtId="0" fontId="16" fillId="6" borderId="13" xfId="0" applyFont="1" applyFill="1" applyBorder="1" applyAlignment="1">
      <alignment horizontal="center" vertical="center"/>
    </xf>
    <xf numFmtId="0" fontId="16" fillId="6" borderId="18" xfId="0" applyFont="1" applyFill="1" applyBorder="1" applyAlignment="1">
      <alignment horizontal="center" vertical="center"/>
    </xf>
    <xf numFmtId="0" fontId="16" fillId="6" borderId="17" xfId="0" applyFont="1" applyFill="1" applyBorder="1" applyAlignment="1">
      <alignment horizontal="center" vertical="center"/>
    </xf>
    <xf numFmtId="1" fontId="26" fillId="0" borderId="77" xfId="0" applyNumberFormat="1" applyFont="1" applyBorder="1" applyAlignment="1" applyProtection="1">
      <alignment horizontal="center"/>
      <protection locked="0"/>
    </xf>
    <xf numFmtId="1" fontId="26" fillId="0" borderId="49" xfId="0" applyNumberFormat="1" applyFont="1" applyBorder="1" applyAlignment="1" applyProtection="1">
      <alignment horizontal="center"/>
      <protection locked="0"/>
    </xf>
    <xf numFmtId="1" fontId="3" fillId="6" borderId="77" xfId="0" applyNumberFormat="1" applyFont="1" applyFill="1" applyBorder="1" applyAlignment="1" applyProtection="1">
      <alignment horizontal="center"/>
      <protection locked="0"/>
    </xf>
    <xf numFmtId="1" fontId="3" fillId="6" borderId="49" xfId="0" applyNumberFormat="1" applyFont="1" applyFill="1" applyBorder="1" applyAlignment="1" applyProtection="1">
      <alignment horizontal="center"/>
      <protection locked="0"/>
    </xf>
    <xf numFmtId="0" fontId="15" fillId="6" borderId="0" xfId="0" applyFont="1" applyFill="1" applyAlignment="1">
      <alignment horizontal="center"/>
    </xf>
    <xf numFmtId="0" fontId="3" fillId="3" borderId="4" xfId="0" applyFont="1" applyFill="1" applyBorder="1" applyAlignment="1">
      <alignment vertical="center"/>
    </xf>
    <xf numFmtId="0" fontId="3" fillId="3" borderId="45" xfId="0" applyFont="1" applyFill="1" applyBorder="1" applyAlignment="1">
      <alignment vertical="center"/>
    </xf>
    <xf numFmtId="0" fontId="0" fillId="0" borderId="45" xfId="0" applyBorder="1" applyAlignment="1">
      <alignment vertical="center"/>
    </xf>
    <xf numFmtId="0" fontId="3" fillId="4" borderId="88" xfId="0" applyFont="1" applyFill="1" applyBorder="1" applyAlignment="1">
      <alignment horizontal="left" vertical="center"/>
    </xf>
    <xf numFmtId="0" fontId="3" fillId="4" borderId="89" xfId="0" applyFont="1" applyFill="1" applyBorder="1" applyAlignment="1">
      <alignment horizontal="left" vertical="center"/>
    </xf>
    <xf numFmtId="0" fontId="3" fillId="4" borderId="90" xfId="0" applyFont="1" applyFill="1" applyBorder="1" applyAlignment="1">
      <alignment horizontal="left" vertical="center"/>
    </xf>
    <xf numFmtId="0" fontId="8" fillId="4" borderId="60" xfId="0" applyFont="1" applyFill="1" applyBorder="1" applyAlignment="1">
      <alignment horizontal="left"/>
    </xf>
    <xf numFmtId="0" fontId="8" fillId="4" borderId="109" xfId="0" applyFont="1" applyFill="1" applyBorder="1" applyAlignment="1">
      <alignment horizontal="left"/>
    </xf>
    <xf numFmtId="0" fontId="6" fillId="4" borderId="6" xfId="0" applyFont="1" applyFill="1" applyBorder="1" applyAlignment="1">
      <alignment horizontal="left"/>
    </xf>
    <xf numFmtId="0" fontId="6" fillId="4" borderId="65" xfId="0" applyFont="1" applyFill="1" applyBorder="1" applyAlignment="1">
      <alignment horizontal="left"/>
    </xf>
    <xf numFmtId="0" fontId="6" fillId="4" borderId="6" xfId="0" applyFont="1" applyFill="1" applyBorder="1" applyAlignment="1" applyProtection="1">
      <alignment horizontal="left"/>
      <protection locked="0"/>
    </xf>
    <xf numFmtId="0" fontId="6" fillId="4" borderId="65" xfId="0" applyFont="1" applyFill="1" applyBorder="1" applyAlignment="1" applyProtection="1">
      <alignment horizontal="left"/>
      <protection locked="0"/>
    </xf>
    <xf numFmtId="0" fontId="6" fillId="4" borderId="58" xfId="0" applyFont="1" applyFill="1" applyBorder="1" applyAlignment="1">
      <alignment horizontal="left"/>
    </xf>
    <xf numFmtId="0" fontId="6" fillId="4" borderId="80" xfId="0" applyFont="1" applyFill="1" applyBorder="1" applyAlignment="1">
      <alignment horizontal="left"/>
    </xf>
    <xf numFmtId="0" fontId="3" fillId="4" borderId="92" xfId="0" applyFont="1" applyFill="1" applyBorder="1" applyAlignment="1">
      <alignment horizontal="left" vertical="center"/>
    </xf>
    <xf numFmtId="0" fontId="3" fillId="4" borderId="53" xfId="0" applyFont="1" applyFill="1" applyBorder="1" applyAlignment="1">
      <alignment horizontal="left" vertical="center"/>
    </xf>
    <xf numFmtId="0" fontId="3" fillId="4" borderId="93" xfId="0" applyFont="1" applyFill="1" applyBorder="1" applyAlignment="1">
      <alignment horizontal="left" vertical="center"/>
    </xf>
    <xf numFmtId="0" fontId="3" fillId="24" borderId="88" xfId="0" applyFont="1" applyFill="1" applyBorder="1" applyAlignment="1">
      <alignment vertical="center"/>
    </xf>
    <xf numFmtId="0" fontId="3" fillId="24" borderId="89" xfId="0" applyFont="1" applyFill="1" applyBorder="1" applyAlignment="1">
      <alignment vertical="center"/>
    </xf>
    <xf numFmtId="0" fontId="3" fillId="24" borderId="90" xfId="0" applyFont="1" applyFill="1" applyBorder="1" applyAlignment="1">
      <alignment vertical="center"/>
    </xf>
    <xf numFmtId="0" fontId="3" fillId="4" borderId="92" xfId="0" applyFont="1" applyFill="1" applyBorder="1" applyAlignment="1">
      <alignment vertical="center"/>
    </xf>
    <xf numFmtId="0" fontId="3" fillId="4" borderId="53" xfId="0" applyFont="1" applyFill="1" applyBorder="1" applyAlignment="1">
      <alignment vertical="center"/>
    </xf>
    <xf numFmtId="0" fontId="3" fillId="4" borderId="93" xfId="0" applyFont="1" applyFill="1" applyBorder="1" applyAlignment="1">
      <alignment vertical="center"/>
    </xf>
    <xf numFmtId="0" fontId="6" fillId="4" borderId="111" xfId="0" applyFont="1" applyFill="1" applyBorder="1" applyAlignment="1">
      <alignment horizontal="left"/>
    </xf>
    <xf numFmtId="0" fontId="6" fillId="4" borderId="120" xfId="0" applyFont="1" applyFill="1" applyBorder="1" applyAlignment="1">
      <alignment horizontal="left"/>
    </xf>
    <xf numFmtId="0" fontId="3" fillId="6" borderId="92" xfId="0" applyFont="1" applyFill="1" applyBorder="1" applyAlignment="1">
      <alignment horizontal="left" vertical="center"/>
    </xf>
    <xf numFmtId="0" fontId="3" fillId="6" borderId="53" xfId="0" applyFont="1" applyFill="1" applyBorder="1" applyAlignment="1">
      <alignment horizontal="left" vertical="center"/>
    </xf>
    <xf numFmtId="0" fontId="3" fillId="6" borderId="93" xfId="0" applyFont="1" applyFill="1" applyBorder="1" applyAlignment="1">
      <alignment horizontal="left" vertical="center"/>
    </xf>
    <xf numFmtId="0" fontId="3" fillId="6" borderId="88" xfId="0" applyFont="1" applyFill="1" applyBorder="1" applyAlignment="1">
      <alignment vertical="center"/>
    </xf>
    <xf numFmtId="0" fontId="3" fillId="6" borderId="89" xfId="0" applyFont="1" applyFill="1" applyBorder="1" applyAlignment="1">
      <alignment vertical="center"/>
    </xf>
    <xf numFmtId="0" fontId="3" fillId="6" borderId="90" xfId="0" applyFont="1" applyFill="1" applyBorder="1" applyAlignment="1">
      <alignment vertical="center"/>
    </xf>
    <xf numFmtId="0" fontId="3" fillId="6" borderId="92" xfId="0" applyFont="1" applyFill="1" applyBorder="1" applyAlignment="1">
      <alignment vertical="center"/>
    </xf>
    <xf numFmtId="0" fontId="3" fillId="6" borderId="53" xfId="0" applyFont="1" applyFill="1" applyBorder="1" applyAlignment="1">
      <alignment vertical="center"/>
    </xf>
    <xf numFmtId="0" fontId="3" fillId="6" borderId="93" xfId="0" applyFont="1" applyFill="1" applyBorder="1" applyAlignment="1">
      <alignment vertical="center"/>
    </xf>
    <xf numFmtId="164" fontId="6" fillId="4" borderId="6" xfId="0" applyNumberFormat="1" applyFont="1" applyFill="1" applyBorder="1" applyAlignment="1">
      <alignment horizontal="left"/>
    </xf>
    <xf numFmtId="164" fontId="6" fillId="4" borderId="65" xfId="0" applyNumberFormat="1" applyFont="1" applyFill="1" applyBorder="1" applyAlignment="1">
      <alignment horizontal="left"/>
    </xf>
    <xf numFmtId="164" fontId="6" fillId="4" borderId="121" xfId="0" applyNumberFormat="1" applyFont="1" applyFill="1" applyBorder="1" applyAlignment="1">
      <alignment horizontal="left"/>
    </xf>
    <xf numFmtId="164" fontId="6" fillId="4" borderId="122" xfId="0" applyNumberFormat="1" applyFont="1" applyFill="1" applyBorder="1" applyAlignment="1">
      <alignment horizontal="left"/>
    </xf>
    <xf numFmtId="0" fontId="3" fillId="6" borderId="88" xfId="0" applyFont="1" applyFill="1" applyBorder="1" applyAlignment="1">
      <alignment horizontal="left" vertical="center"/>
    </xf>
    <xf numFmtId="0" fontId="3" fillId="6" borderId="89" xfId="0" applyFont="1" applyFill="1" applyBorder="1" applyAlignment="1">
      <alignment horizontal="left" vertical="center"/>
    </xf>
    <xf numFmtId="0" fontId="3" fillId="6" borderId="90" xfId="0" applyFont="1" applyFill="1" applyBorder="1" applyAlignment="1">
      <alignment horizontal="left" vertical="center"/>
    </xf>
    <xf numFmtId="0" fontId="3" fillId="6" borderId="14" xfId="0" applyFont="1" applyFill="1" applyBorder="1" applyAlignment="1">
      <alignment vertical="center"/>
    </xf>
    <xf numFmtId="0" fontId="3" fillId="6" borderId="15" xfId="0" applyFont="1" applyFill="1" applyBorder="1" applyAlignment="1">
      <alignment vertical="center"/>
    </xf>
    <xf numFmtId="0" fontId="0" fillId="6" borderId="15" xfId="0" applyFill="1" applyBorder="1" applyAlignment="1">
      <alignment vertical="center"/>
    </xf>
    <xf numFmtId="164" fontId="6" fillId="4" borderId="58" xfId="0" applyNumberFormat="1" applyFont="1" applyFill="1" applyBorder="1" applyAlignment="1">
      <alignment horizontal="left"/>
    </xf>
    <xf numFmtId="164" fontId="6" fillId="4" borderId="80" xfId="0" applyNumberFormat="1" applyFont="1" applyFill="1" applyBorder="1" applyAlignment="1">
      <alignment horizontal="left"/>
    </xf>
    <xf numFmtId="0" fontId="3" fillId="6" borderId="4" xfId="0" applyFont="1" applyFill="1" applyBorder="1" applyAlignment="1">
      <alignment horizontal="right" vertical="center"/>
    </xf>
    <xf numFmtId="0" fontId="3" fillId="6" borderId="45" xfId="0" applyFont="1" applyFill="1" applyBorder="1" applyAlignment="1">
      <alignment horizontal="right" vertical="center"/>
    </xf>
    <xf numFmtId="0" fontId="3" fillId="6" borderId="21" xfId="0" applyFont="1" applyFill="1" applyBorder="1" applyAlignment="1">
      <alignment horizontal="right" vertical="center"/>
    </xf>
    <xf numFmtId="164" fontId="6" fillId="4" borderId="6" xfId="0" applyNumberFormat="1" applyFont="1" applyFill="1" applyBorder="1" applyAlignment="1" applyProtection="1">
      <alignment horizontal="left"/>
      <protection locked="0"/>
    </xf>
    <xf numFmtId="164" fontId="6" fillId="4" borderId="65" xfId="0" applyNumberFormat="1" applyFont="1" applyFill="1" applyBorder="1" applyAlignment="1" applyProtection="1">
      <alignment horizontal="left"/>
      <protection locked="0"/>
    </xf>
    <xf numFmtId="14" fontId="3" fillId="6" borderId="77" xfId="0" applyNumberFormat="1" applyFont="1" applyFill="1" applyBorder="1" applyAlignment="1" applyProtection="1">
      <alignment horizontal="center" vertical="center"/>
      <protection locked="0"/>
    </xf>
    <xf numFmtId="14" fontId="3" fillId="6" borderId="49" xfId="0" applyNumberFormat="1" applyFont="1" applyFill="1" applyBorder="1" applyAlignment="1" applyProtection="1">
      <alignment horizontal="center" vertical="center"/>
      <protection locked="0"/>
    </xf>
    <xf numFmtId="0" fontId="3" fillId="0" borderId="4" xfId="0" applyFont="1" applyBorder="1" applyAlignment="1">
      <alignment horizontal="center"/>
    </xf>
    <xf numFmtId="0" fontId="3" fillId="0" borderId="45" xfId="0" applyFont="1" applyBorder="1" applyAlignment="1">
      <alignment horizontal="center"/>
    </xf>
    <xf numFmtId="0" fontId="3" fillId="0" borderId="21" xfId="0" applyFont="1" applyBorder="1" applyAlignment="1">
      <alignment horizontal="center"/>
    </xf>
    <xf numFmtId="164" fontId="3" fillId="0" borderId="4" xfId="0" applyNumberFormat="1" applyFont="1" applyBorder="1" applyAlignment="1">
      <alignment horizontal="center"/>
    </xf>
    <xf numFmtId="164" fontId="3" fillId="0" borderId="45" xfId="0" applyNumberFormat="1" applyFont="1" applyBorder="1" applyAlignment="1">
      <alignment horizontal="center"/>
    </xf>
    <xf numFmtId="164" fontId="3" fillId="0" borderId="21" xfId="0" applyNumberFormat="1" applyFont="1" applyBorder="1" applyAlignment="1">
      <alignment horizontal="center"/>
    </xf>
    <xf numFmtId="0" fontId="16" fillId="9" borderId="4" xfId="0" applyFont="1" applyFill="1" applyBorder="1" applyAlignment="1">
      <alignment horizontal="center" vertical="center"/>
    </xf>
    <xf numFmtId="0" fontId="16" fillId="9" borderId="45" xfId="0" applyFont="1" applyFill="1" applyBorder="1" applyAlignment="1">
      <alignment horizontal="center" vertical="center"/>
    </xf>
    <xf numFmtId="0" fontId="16" fillId="9" borderId="21" xfId="0" applyFont="1" applyFill="1" applyBorder="1" applyAlignment="1">
      <alignment horizontal="center" vertical="center"/>
    </xf>
    <xf numFmtId="0" fontId="23" fillId="0" borderId="0" xfId="5" applyAlignment="1">
      <alignment horizontal="center"/>
    </xf>
    <xf numFmtId="0" fontId="3" fillId="22" borderId="4" xfId="2" applyFont="1" applyFill="1" applyBorder="1" applyAlignment="1">
      <alignment horizontal="center" vertical="center" wrapText="1"/>
    </xf>
    <xf numFmtId="0" fontId="3" fillId="22" borderId="69" xfId="2" applyFont="1" applyFill="1" applyBorder="1" applyAlignment="1">
      <alignment horizontal="center" vertical="center" wrapText="1"/>
    </xf>
    <xf numFmtId="0" fontId="3" fillId="22" borderId="102" xfId="2" applyFont="1" applyFill="1" applyBorder="1" applyAlignment="1">
      <alignment horizontal="center" vertical="center" wrapText="1"/>
    </xf>
    <xf numFmtId="0" fontId="3" fillId="22" borderId="103" xfId="2" applyFont="1" applyFill="1" applyBorder="1" applyAlignment="1">
      <alignment horizontal="center" vertical="center" wrapText="1"/>
    </xf>
    <xf numFmtId="0" fontId="3" fillId="22" borderId="104" xfId="2" applyFont="1" applyFill="1" applyBorder="1" applyAlignment="1">
      <alignment horizontal="center" vertical="center" wrapText="1"/>
    </xf>
    <xf numFmtId="0" fontId="3" fillId="22" borderId="21" xfId="2" applyFont="1" applyFill="1" applyBorder="1" applyAlignment="1">
      <alignment horizontal="center" vertical="center" wrapText="1"/>
    </xf>
    <xf numFmtId="0" fontId="3" fillId="22" borderId="0" xfId="2" applyFont="1" applyFill="1" applyAlignment="1">
      <alignment horizontal="center" vertical="center" wrapText="1"/>
    </xf>
    <xf numFmtId="0" fontId="3" fillId="22" borderId="96" xfId="2" applyFont="1" applyFill="1" applyBorder="1" applyAlignment="1">
      <alignment horizontal="center" vertical="center"/>
    </xf>
    <xf numFmtId="0" fontId="3" fillId="22" borderId="97" xfId="2" applyFont="1" applyFill="1" applyBorder="1" applyAlignment="1">
      <alignment horizontal="center" vertical="center"/>
    </xf>
    <xf numFmtId="0" fontId="3" fillId="22" borderId="98" xfId="2" applyFont="1" applyFill="1" applyBorder="1" applyAlignment="1">
      <alignment horizontal="center" vertical="center"/>
    </xf>
    <xf numFmtId="0" fontId="3" fillId="22" borderId="0" xfId="2" applyFont="1" applyFill="1" applyAlignment="1">
      <alignment horizontal="center" vertical="center"/>
    </xf>
    <xf numFmtId="0" fontId="3" fillId="22" borderId="99" xfId="2" applyFont="1" applyFill="1" applyBorder="1" applyAlignment="1">
      <alignment horizontal="center" vertical="center"/>
    </xf>
    <xf numFmtId="0" fontId="3" fillId="22" borderId="100" xfId="2" applyFont="1" applyFill="1" applyBorder="1" applyAlignment="1">
      <alignment horizontal="center" vertical="center"/>
    </xf>
    <xf numFmtId="0" fontId="3" fillId="22" borderId="45" xfId="2" applyFont="1" applyFill="1" applyBorder="1" applyAlignment="1">
      <alignment horizontal="center" vertical="center" wrapText="1"/>
    </xf>
    <xf numFmtId="0" fontId="3" fillId="22" borderId="14" xfId="2" applyFont="1" applyFill="1" applyBorder="1" applyAlignment="1">
      <alignment horizontal="center" vertical="center" wrapText="1"/>
    </xf>
    <xf numFmtId="0" fontId="3" fillId="22" borderId="15" xfId="2" applyFont="1" applyFill="1" applyBorder="1" applyAlignment="1">
      <alignment horizontal="center" vertical="center" wrapText="1"/>
    </xf>
    <xf numFmtId="0" fontId="3" fillId="22" borderId="16" xfId="2" applyFont="1" applyFill="1" applyBorder="1" applyAlignment="1">
      <alignment horizontal="center" vertical="center" wrapText="1"/>
    </xf>
    <xf numFmtId="0" fontId="3" fillId="22" borderId="13" xfId="2" applyFont="1" applyFill="1" applyBorder="1" applyAlignment="1">
      <alignment horizontal="center" vertical="center" wrapText="1"/>
    </xf>
    <xf numFmtId="0" fontId="3" fillId="22" borderId="18" xfId="2" applyFont="1" applyFill="1" applyBorder="1" applyAlignment="1">
      <alignment horizontal="center" vertical="center" wrapText="1"/>
    </xf>
    <xf numFmtId="0" fontId="3" fillId="22" borderId="17" xfId="2" applyFont="1" applyFill="1" applyBorder="1" applyAlignment="1">
      <alignment horizontal="center" vertical="center" wrapText="1"/>
    </xf>
    <xf numFmtId="0" fontId="3" fillId="23" borderId="41" xfId="2" applyFont="1" applyFill="1" applyBorder="1" applyAlignment="1">
      <alignment horizontal="center" vertical="center"/>
    </xf>
    <xf numFmtId="164" fontId="3" fillId="23" borderId="77" xfId="2" applyNumberFormat="1" applyFont="1" applyFill="1" applyBorder="1" applyAlignment="1">
      <alignment horizontal="center" vertical="center" wrapText="1"/>
    </xf>
    <xf numFmtId="0" fontId="3" fillId="23" borderId="48" xfId="2" applyFont="1" applyFill="1" applyBorder="1" applyAlignment="1">
      <alignment horizontal="center" vertical="center"/>
    </xf>
    <xf numFmtId="164" fontId="3" fillId="23" borderId="76" xfId="2" applyNumberFormat="1" applyFont="1" applyFill="1" applyBorder="1" applyAlignment="1">
      <alignment horizontal="center" vertical="center" wrapText="1"/>
    </xf>
    <xf numFmtId="0" fontId="24" fillId="0" borderId="41" xfId="3" applyFont="1" applyBorder="1" applyAlignment="1">
      <alignment horizontal="center"/>
    </xf>
    <xf numFmtId="0" fontId="3" fillId="9" borderId="34" xfId="0" applyFont="1" applyFill="1" applyBorder="1" applyAlignment="1">
      <alignment horizontal="center" vertical="center"/>
    </xf>
    <xf numFmtId="0" fontId="3" fillId="9" borderId="36" xfId="0" applyFont="1" applyFill="1" applyBorder="1" applyAlignment="1">
      <alignment horizontal="center" vertical="center"/>
    </xf>
    <xf numFmtId="0" fontId="3" fillId="9" borderId="35" xfId="0" applyFont="1" applyFill="1" applyBorder="1" applyAlignment="1">
      <alignment horizontal="center" vertical="center"/>
    </xf>
    <xf numFmtId="0" fontId="26" fillId="3" borderId="92" xfId="0" applyFont="1" applyFill="1" applyBorder="1" applyAlignment="1">
      <alignment horizontal="center" wrapText="1"/>
    </xf>
    <xf numFmtId="0" fontId="26" fillId="3" borderId="52" xfId="0" applyFont="1" applyFill="1" applyBorder="1" applyAlignment="1">
      <alignment horizontal="center" wrapText="1"/>
    </xf>
    <xf numFmtId="0" fontId="3" fillId="0" borderId="91" xfId="0" applyFont="1" applyBorder="1" applyAlignment="1">
      <alignment horizontal="center" vertical="center" textRotation="90" wrapText="1"/>
    </xf>
    <xf numFmtId="0" fontId="3" fillId="0" borderId="56" xfId="0" applyFont="1" applyBorder="1" applyAlignment="1">
      <alignment horizontal="center" vertical="center" textRotation="90" wrapText="1"/>
    </xf>
    <xf numFmtId="0" fontId="3" fillId="0" borderId="20" xfId="0" applyFont="1" applyBorder="1" applyAlignment="1">
      <alignment horizontal="center" vertical="center" textRotation="90" wrapText="1"/>
    </xf>
    <xf numFmtId="0" fontId="3" fillId="0" borderId="41" xfId="0" applyFont="1" applyBorder="1" applyAlignment="1">
      <alignment horizontal="center" vertical="center" textRotation="90"/>
    </xf>
    <xf numFmtId="0" fontId="3" fillId="9" borderId="77" xfId="0" applyFont="1" applyFill="1" applyBorder="1" applyAlignment="1">
      <alignment horizontal="center" vertical="center" wrapText="1"/>
    </xf>
    <xf numFmtId="0" fontId="3" fillId="9" borderId="50" xfId="0" applyFont="1" applyFill="1" applyBorder="1" applyAlignment="1">
      <alignment horizontal="center" vertical="center" wrapText="1"/>
    </xf>
    <xf numFmtId="0" fontId="3" fillId="9" borderId="49" xfId="0" applyFont="1" applyFill="1" applyBorder="1" applyAlignment="1">
      <alignment horizontal="center" vertical="center" wrapText="1"/>
    </xf>
    <xf numFmtId="0" fontId="3" fillId="0" borderId="41" xfId="0" applyFont="1" applyBorder="1" applyAlignment="1">
      <alignment horizontal="center" vertical="center" textRotation="90" wrapText="1"/>
    </xf>
    <xf numFmtId="0" fontId="3" fillId="9" borderId="41" xfId="2" applyFont="1" applyFill="1" applyBorder="1" applyAlignment="1">
      <alignment horizontal="center" vertical="center"/>
    </xf>
    <xf numFmtId="0" fontId="3" fillId="9" borderId="34" xfId="2" applyFont="1" applyFill="1" applyBorder="1" applyAlignment="1">
      <alignment horizontal="center" vertical="center"/>
    </xf>
    <xf numFmtId="0" fontId="3" fillId="9" borderId="36" xfId="2" applyFont="1" applyFill="1" applyBorder="1" applyAlignment="1">
      <alignment horizontal="center" vertical="center"/>
    </xf>
    <xf numFmtId="0" fontId="3" fillId="0" borderId="91" xfId="2" applyFont="1" applyBorder="1" applyAlignment="1">
      <alignment horizontal="center" vertical="center" textRotation="90" wrapText="1"/>
    </xf>
    <xf numFmtId="0" fontId="3" fillId="0" borderId="56" xfId="2" applyFont="1" applyBorder="1" applyAlignment="1">
      <alignment horizontal="center" vertical="center" textRotation="90" wrapText="1"/>
    </xf>
    <xf numFmtId="0" fontId="3" fillId="0" borderId="20" xfId="2" applyFont="1" applyBorder="1" applyAlignment="1">
      <alignment horizontal="center" vertical="center" textRotation="90" wrapText="1"/>
    </xf>
    <xf numFmtId="0" fontId="14" fillId="6" borderId="14" xfId="0" applyFont="1" applyFill="1" applyBorder="1" applyAlignment="1">
      <alignment horizontal="left" vertical="center"/>
    </xf>
    <xf numFmtId="0" fontId="14" fillId="6" borderId="15" xfId="0" applyFont="1" applyFill="1" applyBorder="1" applyAlignment="1">
      <alignment horizontal="left" vertical="center"/>
    </xf>
    <xf numFmtId="0" fontId="14" fillId="6" borderId="13" xfId="0" applyFont="1" applyFill="1" applyBorder="1" applyAlignment="1">
      <alignment horizontal="left" vertical="center"/>
    </xf>
    <xf numFmtId="0" fontId="14" fillId="6" borderId="18" xfId="0" applyFont="1" applyFill="1" applyBorder="1" applyAlignment="1">
      <alignment horizontal="left" vertical="center"/>
    </xf>
    <xf numFmtId="0" fontId="3" fillId="7" borderId="4" xfId="0" applyFont="1" applyFill="1" applyBorder="1" applyAlignment="1">
      <alignment horizontal="center" vertical="center"/>
    </xf>
    <xf numFmtId="0" fontId="3" fillId="7" borderId="45" xfId="0" applyFont="1" applyFill="1" applyBorder="1" applyAlignment="1">
      <alignment horizontal="center" vertical="center"/>
    </xf>
  </cellXfs>
  <cellStyles count="8">
    <cellStyle name="Normal 2" xfId="2" xr:uid="{00000000-0005-0000-0000-000002000000}"/>
    <cellStyle name="Normal 3" xfId="3" xr:uid="{00000000-0005-0000-0000-000003000000}"/>
    <cellStyle name="Normal 3 2" xfId="6" xr:uid="{00000000-0005-0000-0000-000004000000}"/>
    <cellStyle name="Normal 3 3" xfId="7" xr:uid="{9743AF76-FB88-4B01-9DF4-49F1342A5FD6}"/>
    <cellStyle name="Normal 4" xfId="4" xr:uid="{00000000-0005-0000-0000-000005000000}"/>
    <cellStyle name="Normal 5" xfId="5" xr:uid="{00000000-0005-0000-0000-000006000000}"/>
    <cellStyle name="Standard" xfId="0" builtinId="0"/>
    <cellStyle name="Überschrift 1" xfId="1" builtinId="16"/>
  </cellStyles>
  <dxfs count="24">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0000"/>
          </stop>
        </gradientFill>
      </fill>
    </dxf>
    <dxf>
      <fill>
        <gradientFill degree="90">
          <stop position="0">
            <color theme="0"/>
          </stop>
          <stop position="1">
            <color rgb="FFFF0000"/>
          </stop>
        </gradientFill>
      </fill>
    </dxf>
    <dxf>
      <fill>
        <gradientFill degree="90">
          <stop position="0">
            <color theme="0"/>
          </stop>
          <stop position="1">
            <color rgb="FF92D050"/>
          </stop>
        </gradientFill>
      </fill>
    </dxf>
    <dxf>
      <font>
        <color auto="1"/>
      </font>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ill>
        <gradientFill degree="90">
          <stop position="0">
            <color theme="0"/>
          </stop>
          <stop position="1">
            <color rgb="FFFF0000"/>
          </stop>
        </gradientFill>
      </fill>
    </dxf>
    <dxf>
      <fill>
        <gradientFill degree="90">
          <stop position="0">
            <color theme="0"/>
          </stop>
          <stop position="1">
            <color rgb="FFFFC000"/>
          </stop>
        </gradientFill>
      </fill>
    </dxf>
    <dxf>
      <font>
        <color theme="1"/>
      </font>
      <fill>
        <gradientFill degree="90">
          <stop position="0">
            <color theme="0"/>
          </stop>
          <stop position="1">
            <color rgb="FFFF0000"/>
          </stop>
        </gradientFill>
      </fill>
    </dxf>
    <dxf>
      <fill>
        <gradientFill degree="90">
          <stop position="0">
            <color theme="0"/>
          </stop>
          <stop position="1">
            <color rgb="FFFF5050"/>
          </stop>
        </gradientFill>
      </fill>
    </dxf>
    <dxf>
      <fill>
        <patternFill patternType="solid">
          <fgColor auto="1"/>
          <bgColor theme="0" tint="-4.9989318521683403E-2"/>
        </patternFill>
      </fill>
    </dxf>
    <dxf>
      <fill>
        <gradientFill degree="90">
          <stop position="0">
            <color theme="0"/>
          </stop>
          <stop position="1">
            <color rgb="FF92D050"/>
          </stop>
        </gradientFill>
      </fill>
    </dxf>
    <dxf>
      <fill>
        <gradientFill degree="90">
          <stop position="0">
            <color theme="0"/>
          </stop>
          <stop position="1">
            <color rgb="FFFF5050"/>
          </stop>
        </gradientFill>
      </fill>
    </dxf>
  </dxfs>
  <tableStyles count="0" defaultTableStyle="TableStyleMedium2" defaultPivotStyle="PivotStyleLight16"/>
  <colors>
    <mruColors>
      <color rgb="FFF2F2F2"/>
      <color rgb="FF99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2.xml"/><Relationship Id="rId18" Type="http://schemas.openxmlformats.org/officeDocument/2006/relationships/worksheet" Target="worksheets/sheet16.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19.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worksheet" Target="worksheets/sheet1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4.xml"/><Relationship Id="rId20" Type="http://schemas.openxmlformats.org/officeDocument/2006/relationships/worksheet" Target="worksheets/sheet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3.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2.xml"/><Relationship Id="rId22" Type="http://schemas.openxmlformats.org/officeDocument/2006/relationships/worksheet" Target="worksheets/sheet20.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ZA"/>
              <a:t>JS3 RES 15m Configuration CG Envelope</a:t>
            </a:r>
          </a:p>
        </c:rich>
      </c:tx>
      <c:layout>
        <c:manualLayout>
          <c:xMode val="edge"/>
          <c:yMode val="edge"/>
          <c:x val="0.25467278128695453"/>
          <c:y val="3.9966722123632739E-2"/>
        </c:manualLayout>
      </c:layout>
      <c:overlay val="0"/>
    </c:title>
    <c:autoTitleDeleted val="0"/>
    <c:plotArea>
      <c:layout>
        <c:manualLayout>
          <c:layoutTarget val="inner"/>
          <c:xMode val="edge"/>
          <c:yMode val="edge"/>
          <c:x val="0.10751030052867323"/>
          <c:y val="0.11339562146568413"/>
          <c:w val="0.85247409863240775"/>
          <c:h val="0.7426660797835053"/>
        </c:manualLayout>
      </c:layout>
      <c:scatterChart>
        <c:scatterStyle val="lineMarker"/>
        <c:varyColors val="0"/>
        <c:ser>
          <c:idx val="5"/>
          <c:order val="0"/>
          <c:tx>
            <c:v>Recommended</c:v>
          </c:tx>
          <c:spPr>
            <a:ln w="25400">
              <a:solidFill>
                <a:srgbClr val="FFC000"/>
              </a:solidFill>
              <a:prstDash val="solid"/>
            </a:ln>
          </c:spPr>
          <c:marker>
            <c:symbol val="none"/>
          </c:marker>
          <c:xVal>
            <c:numRef>
              <c:f>Config!$L$8:$L$15</c:f>
              <c:numCache>
                <c:formatCode>General</c:formatCode>
                <c:ptCount val="8"/>
                <c:pt idx="0">
                  <c:v>111.875</c:v>
                </c:pt>
                <c:pt idx="1">
                  <c:v>131.375</c:v>
                </c:pt>
                <c:pt idx="2">
                  <c:v>141.125</c:v>
                </c:pt>
                <c:pt idx="3">
                  <c:v>150.875</c:v>
                </c:pt>
                <c:pt idx="4">
                  <c:v>160.625</c:v>
                </c:pt>
                <c:pt idx="5">
                  <c:v>170.375</c:v>
                </c:pt>
                <c:pt idx="6">
                  <c:v>180.125</c:v>
                </c:pt>
                <c:pt idx="7">
                  <c:v>189.875</c:v>
                </c:pt>
              </c:numCache>
            </c:numRef>
          </c:xVal>
          <c:yVal>
            <c:numRef>
              <c:f>Config!$H$8:$H$15</c:f>
              <c:numCache>
                <c:formatCode>General</c:formatCode>
                <c:ptCount val="8"/>
                <c:pt idx="0">
                  <c:v>325</c:v>
                </c:pt>
                <c:pt idx="1">
                  <c:v>375</c:v>
                </c:pt>
                <c:pt idx="2">
                  <c:v>400</c:v>
                </c:pt>
                <c:pt idx="3">
                  <c:v>425</c:v>
                </c:pt>
                <c:pt idx="4">
                  <c:v>450</c:v>
                </c:pt>
                <c:pt idx="5">
                  <c:v>475</c:v>
                </c:pt>
                <c:pt idx="6">
                  <c:v>500</c:v>
                </c:pt>
                <c:pt idx="7">
                  <c:v>525</c:v>
                </c:pt>
              </c:numCache>
            </c:numRef>
          </c:yVal>
          <c:smooth val="0"/>
          <c:extLst>
            <c:ext xmlns:c16="http://schemas.microsoft.com/office/drawing/2014/chart" uri="{C3380CC4-5D6E-409C-BE32-E72D297353CC}">
              <c16:uniqueId val="{00000000-02D5-42F8-A17A-50C25CA0A89B}"/>
            </c:ext>
          </c:extLst>
        </c:ser>
        <c:ser>
          <c:idx val="0"/>
          <c:order val="1"/>
          <c:tx>
            <c:v>Fwd limit boundary</c:v>
          </c:tx>
          <c:marker>
            <c:symbol val="none"/>
          </c:marker>
          <c:xVal>
            <c:numRef>
              <c:f>Config!$I$8:$I$15</c:f>
              <c:numCache>
                <c:formatCode>General</c:formatCode>
                <c:ptCount val="8"/>
                <c:pt idx="0">
                  <c:v>87.75</c:v>
                </c:pt>
                <c:pt idx="1">
                  <c:v>101.25</c:v>
                </c:pt>
                <c:pt idx="2">
                  <c:v>108</c:v>
                </c:pt>
                <c:pt idx="3">
                  <c:v>118.425</c:v>
                </c:pt>
                <c:pt idx="4">
                  <c:v>128.85</c:v>
                </c:pt>
                <c:pt idx="5">
                  <c:v>139.27500000000001</c:v>
                </c:pt>
                <c:pt idx="6">
                  <c:v>149.70000000000002</c:v>
                </c:pt>
                <c:pt idx="7">
                  <c:v>160.125</c:v>
                </c:pt>
              </c:numCache>
            </c:numRef>
          </c:xVal>
          <c:yVal>
            <c:numRef>
              <c:f>Config!$H$8:$H$15</c:f>
              <c:numCache>
                <c:formatCode>General</c:formatCode>
                <c:ptCount val="8"/>
                <c:pt idx="0">
                  <c:v>325</c:v>
                </c:pt>
                <c:pt idx="1">
                  <c:v>375</c:v>
                </c:pt>
                <c:pt idx="2">
                  <c:v>400</c:v>
                </c:pt>
                <c:pt idx="3">
                  <c:v>425</c:v>
                </c:pt>
                <c:pt idx="4">
                  <c:v>450</c:v>
                </c:pt>
                <c:pt idx="5">
                  <c:v>475</c:v>
                </c:pt>
                <c:pt idx="6">
                  <c:v>500</c:v>
                </c:pt>
                <c:pt idx="7">
                  <c:v>525</c:v>
                </c:pt>
              </c:numCache>
            </c:numRef>
          </c:yVal>
          <c:smooth val="0"/>
          <c:extLst>
            <c:ext xmlns:c16="http://schemas.microsoft.com/office/drawing/2014/chart" uri="{C3380CC4-5D6E-409C-BE32-E72D297353CC}">
              <c16:uniqueId val="{00000001-02D5-42F8-A17A-50C25CA0A89B}"/>
            </c:ext>
          </c:extLst>
        </c:ser>
        <c:ser>
          <c:idx val="1"/>
          <c:order val="2"/>
          <c:tx>
            <c:v>Rear limit boundary</c:v>
          </c:tx>
          <c:marker>
            <c:symbol val="none"/>
          </c:marker>
          <c:xVal>
            <c:numRef>
              <c:f>Config!$J$7:$J$15</c:f>
              <c:numCache>
                <c:formatCode>General</c:formatCode>
                <c:ptCount val="9"/>
                <c:pt idx="0">
                  <c:v>87.75</c:v>
                </c:pt>
                <c:pt idx="1">
                  <c:v>126.75</c:v>
                </c:pt>
                <c:pt idx="2">
                  <c:v>146.25</c:v>
                </c:pt>
                <c:pt idx="3">
                  <c:v>156</c:v>
                </c:pt>
                <c:pt idx="4">
                  <c:v>165.75</c:v>
                </c:pt>
                <c:pt idx="5">
                  <c:v>175.5</c:v>
                </c:pt>
                <c:pt idx="6">
                  <c:v>185.25</c:v>
                </c:pt>
                <c:pt idx="7">
                  <c:v>195</c:v>
                </c:pt>
                <c:pt idx="8">
                  <c:v>204.75</c:v>
                </c:pt>
              </c:numCache>
            </c:numRef>
          </c:xVal>
          <c:yVal>
            <c:numRef>
              <c:f>Config!$H$7:$H$15</c:f>
              <c:numCache>
                <c:formatCode>General</c:formatCode>
                <c:ptCount val="9"/>
                <c:pt idx="0">
                  <c:v>325</c:v>
                </c:pt>
                <c:pt idx="1">
                  <c:v>325</c:v>
                </c:pt>
                <c:pt idx="2">
                  <c:v>375</c:v>
                </c:pt>
                <c:pt idx="3">
                  <c:v>400</c:v>
                </c:pt>
                <c:pt idx="4">
                  <c:v>425</c:v>
                </c:pt>
                <c:pt idx="5">
                  <c:v>450</c:v>
                </c:pt>
                <c:pt idx="6">
                  <c:v>475</c:v>
                </c:pt>
                <c:pt idx="7">
                  <c:v>500</c:v>
                </c:pt>
                <c:pt idx="8">
                  <c:v>525</c:v>
                </c:pt>
              </c:numCache>
            </c:numRef>
          </c:yVal>
          <c:smooth val="0"/>
          <c:extLst>
            <c:ext xmlns:c16="http://schemas.microsoft.com/office/drawing/2014/chart" uri="{C3380CC4-5D6E-409C-BE32-E72D297353CC}">
              <c16:uniqueId val="{00000002-02D5-42F8-A17A-50C25CA0A89B}"/>
            </c:ext>
          </c:extLst>
        </c:ser>
        <c:ser>
          <c:idx val="2"/>
          <c:order val="3"/>
          <c:tx>
            <c:v>Full water</c:v>
          </c:tx>
          <c:spPr>
            <a:effectLst>
              <a:glow rad="139700">
                <a:schemeClr val="accent2">
                  <a:satMod val="175000"/>
                  <a:alpha val="12000"/>
                </a:schemeClr>
              </a:glow>
            </a:effectLst>
          </c:spPr>
          <c:marker>
            <c:symbol val="diamond"/>
            <c:size val="10"/>
            <c:spPr>
              <a:solidFill>
                <a:schemeClr val="accent1"/>
              </a:solidFill>
              <a:effectLst>
                <a:glow rad="139700">
                  <a:schemeClr val="accent2">
                    <a:satMod val="175000"/>
                    <a:alpha val="12000"/>
                  </a:schemeClr>
                </a:glow>
              </a:effectLst>
            </c:spPr>
          </c:marker>
          <c:xVal>
            <c:numRef>
              <c:f>'JS3 15m CG Envelope'!$I$27</c:f>
              <c:numCache>
                <c:formatCode>0.0</c:formatCode>
                <c:ptCount val="1"/>
                <c:pt idx="0">
                  <c:v>128.20500000000001</c:v>
                </c:pt>
              </c:numCache>
            </c:numRef>
          </c:xVal>
          <c:yVal>
            <c:numRef>
              <c:f>'JS3 15m CG Envelope'!$E$27</c:f>
              <c:numCache>
                <c:formatCode>0.0</c:formatCode>
                <c:ptCount val="1"/>
                <c:pt idx="0">
                  <c:v>427.2</c:v>
                </c:pt>
              </c:numCache>
            </c:numRef>
          </c:yVal>
          <c:smooth val="0"/>
          <c:extLst>
            <c:ext xmlns:c16="http://schemas.microsoft.com/office/drawing/2014/chart" uri="{C3380CC4-5D6E-409C-BE32-E72D297353CC}">
              <c16:uniqueId val="{00000003-02D5-42F8-A17A-50C25CA0A89B}"/>
            </c:ext>
          </c:extLst>
        </c:ser>
        <c:ser>
          <c:idx val="3"/>
          <c:order val="4"/>
          <c:tx>
            <c:v>Empty CG</c:v>
          </c:tx>
          <c:spPr>
            <a:effectLst>
              <a:glow rad="139700">
                <a:srgbClr val="FF0000">
                  <a:alpha val="12000"/>
                </a:srgbClr>
              </a:glow>
              <a:outerShdw blurRad="50800" dist="50800" dir="5400000" algn="ctr" rotWithShape="0">
                <a:schemeClr val="bg1"/>
              </a:outerShdw>
            </a:effectLst>
          </c:spPr>
          <c:marker>
            <c:symbol val="diamond"/>
            <c:size val="10"/>
            <c:spPr>
              <a:solidFill>
                <a:srgbClr val="00B050"/>
              </a:solidFill>
              <a:effectLst>
                <a:glow rad="139700">
                  <a:srgbClr val="FF0000">
                    <a:alpha val="12000"/>
                  </a:srgbClr>
                </a:glow>
                <a:outerShdw blurRad="50800" dist="50800" dir="5400000" algn="ctr" rotWithShape="0">
                  <a:schemeClr val="bg1"/>
                </a:outerShdw>
              </a:effectLst>
            </c:spPr>
          </c:marker>
          <c:xVal>
            <c:numRef>
              <c:f>'JS3 15m CG Envelope'!$I$28</c:f>
              <c:numCache>
                <c:formatCode>0.0</c:formatCode>
                <c:ptCount val="1"/>
                <c:pt idx="0">
                  <c:v>128.20500000000001</c:v>
                </c:pt>
              </c:numCache>
            </c:numRef>
          </c:xVal>
          <c:yVal>
            <c:numRef>
              <c:f>'JS3 15m CG Envelope'!$E$28</c:f>
              <c:numCache>
                <c:formatCode>0.0</c:formatCode>
                <c:ptCount val="1"/>
                <c:pt idx="0">
                  <c:v>427.2</c:v>
                </c:pt>
              </c:numCache>
            </c:numRef>
          </c:yVal>
          <c:smooth val="0"/>
          <c:extLst>
            <c:ext xmlns:c16="http://schemas.microsoft.com/office/drawing/2014/chart" uri="{C3380CC4-5D6E-409C-BE32-E72D297353CC}">
              <c16:uniqueId val="{00000004-02D5-42F8-A17A-50C25CA0A89B}"/>
            </c:ext>
          </c:extLst>
        </c:ser>
        <c:ser>
          <c:idx val="4"/>
          <c:order val="5"/>
          <c:tx>
            <c:v>525kg limit</c:v>
          </c:tx>
          <c:marker>
            <c:symbol val="none"/>
          </c:marker>
          <c:xVal>
            <c:numRef>
              <c:f>Config!$I$15:$J$15</c:f>
              <c:numCache>
                <c:formatCode>General</c:formatCode>
                <c:ptCount val="2"/>
                <c:pt idx="0">
                  <c:v>160.125</c:v>
                </c:pt>
                <c:pt idx="1">
                  <c:v>204.75</c:v>
                </c:pt>
              </c:numCache>
            </c:numRef>
          </c:xVal>
          <c:yVal>
            <c:numRef>
              <c:f>Config!$H$15:$H$16</c:f>
              <c:numCache>
                <c:formatCode>General</c:formatCode>
                <c:ptCount val="2"/>
                <c:pt idx="0">
                  <c:v>525</c:v>
                </c:pt>
                <c:pt idx="1">
                  <c:v>525</c:v>
                </c:pt>
              </c:numCache>
            </c:numRef>
          </c:yVal>
          <c:smooth val="0"/>
          <c:extLst>
            <c:ext xmlns:c16="http://schemas.microsoft.com/office/drawing/2014/chart" uri="{C3380CC4-5D6E-409C-BE32-E72D297353CC}">
              <c16:uniqueId val="{00000005-02D5-42F8-A17A-50C25CA0A89B}"/>
            </c:ext>
          </c:extLst>
        </c:ser>
        <c:ser>
          <c:idx val="6"/>
          <c:order val="6"/>
          <c:tx>
            <c:v>Pylon extended</c:v>
          </c:tx>
          <c:spPr>
            <a:ln w="31750" cap="sq">
              <a:solidFill>
                <a:schemeClr val="tx1"/>
              </a:solidFill>
            </a:ln>
          </c:spPr>
          <c:marker>
            <c:symbol val="star"/>
            <c:size val="5"/>
            <c:spPr>
              <a:solidFill>
                <a:srgbClr val="FF0000"/>
              </a:solidFill>
            </c:spPr>
          </c:marker>
          <c:xVal>
            <c:numRef>
              <c:f>'JS3 15m CG Envelope'!$I$30</c:f>
              <c:numCache>
                <c:formatCode>0.0</c:formatCode>
                <c:ptCount val="1"/>
                <c:pt idx="0">
                  <c:v>121.75500000000002</c:v>
                </c:pt>
              </c:numCache>
            </c:numRef>
          </c:xVal>
          <c:yVal>
            <c:numRef>
              <c:f>'JS3 15m CG Envelope'!$E$30</c:f>
              <c:numCache>
                <c:formatCode>0.0</c:formatCode>
                <c:ptCount val="1"/>
                <c:pt idx="0">
                  <c:v>427.2</c:v>
                </c:pt>
              </c:numCache>
            </c:numRef>
          </c:yVal>
          <c:smooth val="0"/>
          <c:extLst>
            <c:ext xmlns:c16="http://schemas.microsoft.com/office/drawing/2014/chart" uri="{C3380CC4-5D6E-409C-BE32-E72D297353CC}">
              <c16:uniqueId val="{00000006-02D5-42F8-A17A-50C25CA0A89B}"/>
            </c:ext>
          </c:extLst>
        </c:ser>
        <c:ser>
          <c:idx val="7"/>
          <c:order val="7"/>
          <c:tx>
            <c:v>Pylon ext with water</c:v>
          </c:tx>
          <c:spPr>
            <a:ln>
              <a:solidFill>
                <a:schemeClr val="accent1"/>
              </a:solidFill>
            </a:ln>
          </c:spPr>
          <c:marker>
            <c:symbol val="star"/>
            <c:size val="5"/>
            <c:spPr>
              <a:solidFill>
                <a:srgbClr val="FF0000"/>
              </a:solidFill>
            </c:spPr>
          </c:marker>
          <c:xVal>
            <c:numRef>
              <c:f>'JS3 15m CG Envelope'!$I$29</c:f>
              <c:numCache>
                <c:formatCode>0.0</c:formatCode>
                <c:ptCount val="1"/>
                <c:pt idx="0">
                  <c:v>121.75500000000002</c:v>
                </c:pt>
              </c:numCache>
            </c:numRef>
          </c:xVal>
          <c:yVal>
            <c:numRef>
              <c:f>'JS3 15m CG Envelope'!$E$29</c:f>
              <c:numCache>
                <c:formatCode>0.0</c:formatCode>
                <c:ptCount val="1"/>
                <c:pt idx="0">
                  <c:v>427.2</c:v>
                </c:pt>
              </c:numCache>
            </c:numRef>
          </c:yVal>
          <c:smooth val="0"/>
          <c:extLst>
            <c:ext xmlns:c16="http://schemas.microsoft.com/office/drawing/2014/chart" uri="{C3380CC4-5D6E-409C-BE32-E72D297353CC}">
              <c16:uniqueId val="{00000007-02D5-42F8-A17A-50C25CA0A89B}"/>
            </c:ext>
          </c:extLst>
        </c:ser>
        <c:dLbls>
          <c:showLegendKey val="0"/>
          <c:showVal val="0"/>
          <c:showCatName val="0"/>
          <c:showSerName val="0"/>
          <c:showPercent val="0"/>
          <c:showBubbleSize val="0"/>
        </c:dLbls>
        <c:axId val="169548032"/>
        <c:axId val="169571072"/>
      </c:scatterChart>
      <c:valAx>
        <c:axId val="169548032"/>
        <c:scaling>
          <c:orientation val="minMax"/>
          <c:max val="250"/>
          <c:min val="50"/>
        </c:scaling>
        <c:delete val="0"/>
        <c:axPos val="b"/>
        <c:majorGridlines>
          <c:spPr>
            <a:ln w="12700"/>
          </c:spPr>
        </c:majorGridlines>
        <c:minorGridlines>
          <c:spPr>
            <a:ln>
              <a:solidFill>
                <a:schemeClr val="tx2">
                  <a:lumMod val="40000"/>
                  <a:lumOff val="60000"/>
                </a:schemeClr>
              </a:solidFill>
            </a:ln>
          </c:spPr>
        </c:minorGridlines>
        <c:title>
          <c:tx>
            <c:rich>
              <a:bodyPr/>
              <a:lstStyle/>
              <a:p>
                <a:pPr>
                  <a:defRPr sz="1400" b="1" i="0" u="none" strike="noStrike" baseline="0">
                    <a:solidFill>
                      <a:srgbClr val="000000"/>
                    </a:solidFill>
                    <a:latin typeface="Calibri"/>
                    <a:ea typeface="Calibri"/>
                    <a:cs typeface="Calibri"/>
                  </a:defRPr>
                </a:pPr>
                <a:r>
                  <a:rPr lang="en-ZA"/>
                  <a:t>Moment (kg.m)</a:t>
                </a:r>
              </a:p>
            </c:rich>
          </c:tx>
          <c:layout>
            <c:manualLayout>
              <c:xMode val="edge"/>
              <c:yMode val="edge"/>
              <c:x val="0.46240809302810654"/>
              <c:y val="0.93042160622115544"/>
            </c:manualLayout>
          </c:layout>
          <c:overlay val="0"/>
        </c:title>
        <c:numFmt formatCode="General" sourceLinked="1"/>
        <c:majorTickMark val="cross"/>
        <c:minorTickMark val="cross"/>
        <c:tickLblPos val="nextTo"/>
        <c:txPr>
          <a:bodyPr rot="-3180000" vert="horz"/>
          <a:lstStyle/>
          <a:p>
            <a:pPr>
              <a:defRPr sz="1000" b="1" i="0" u="none" strike="noStrike" baseline="0">
                <a:solidFill>
                  <a:srgbClr val="000000"/>
                </a:solidFill>
                <a:latin typeface="Calibri"/>
                <a:ea typeface="Calibri"/>
                <a:cs typeface="Calibri"/>
              </a:defRPr>
            </a:pPr>
            <a:endParaRPr lang="en-US"/>
          </a:p>
        </c:txPr>
        <c:crossAx val="169571072"/>
        <c:crosses val="autoZero"/>
        <c:crossBetween val="midCat"/>
        <c:majorUnit val="10"/>
        <c:minorUnit val="5"/>
      </c:valAx>
      <c:valAx>
        <c:axId val="169571072"/>
        <c:scaling>
          <c:orientation val="minMax"/>
          <c:max val="550"/>
          <c:min val="300"/>
        </c:scaling>
        <c:delete val="0"/>
        <c:axPos val="l"/>
        <c:majorGridlines/>
        <c:minorGridlines/>
        <c:title>
          <c:tx>
            <c:rich>
              <a:bodyPr/>
              <a:lstStyle/>
              <a:p>
                <a:pPr>
                  <a:defRPr sz="1400" b="1" i="0" u="none" strike="noStrike" baseline="0">
                    <a:solidFill>
                      <a:srgbClr val="000000"/>
                    </a:solidFill>
                    <a:latin typeface="Calibri"/>
                    <a:ea typeface="Calibri"/>
                    <a:cs typeface="Calibri"/>
                  </a:defRPr>
                </a:pPr>
                <a:r>
                  <a:rPr lang="en-ZA"/>
                  <a:t>Aircraft Weight (kg)</a:t>
                </a:r>
              </a:p>
            </c:rich>
          </c:tx>
          <c:layout>
            <c:manualLayout>
              <c:xMode val="edge"/>
              <c:yMode val="edge"/>
              <c:x val="3.8985938016026143E-3"/>
              <c:y val="0.32538457785713587"/>
            </c:manualLayout>
          </c:layout>
          <c:overlay val="0"/>
        </c:title>
        <c:numFmt formatCode="General" sourceLinked="1"/>
        <c:majorTickMark val="out"/>
        <c:minorTickMark val="none"/>
        <c:tickLblPos val="nextTo"/>
        <c:spPr>
          <a:ln w="15875"/>
        </c:spPr>
        <c:txPr>
          <a:bodyPr rot="0" vert="horz"/>
          <a:lstStyle/>
          <a:p>
            <a:pPr>
              <a:defRPr sz="1000" b="1" i="0" u="none" strike="noStrike" baseline="0">
                <a:solidFill>
                  <a:srgbClr val="000000"/>
                </a:solidFill>
                <a:latin typeface="Calibri"/>
                <a:ea typeface="Calibri"/>
                <a:cs typeface="Calibri"/>
              </a:defRPr>
            </a:pPr>
            <a:endParaRPr lang="en-US"/>
          </a:p>
        </c:txPr>
        <c:crossAx val="169548032"/>
        <c:crossesAt val="10"/>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ZA"/>
              <a:t>JS3 RES 18m Configuration CG Envelope</a:t>
            </a:r>
          </a:p>
        </c:rich>
      </c:tx>
      <c:layout>
        <c:manualLayout>
          <c:xMode val="edge"/>
          <c:yMode val="edge"/>
          <c:x val="0.26304445117437242"/>
          <c:y val="3.288755244177155E-2"/>
        </c:manualLayout>
      </c:layout>
      <c:overlay val="0"/>
    </c:title>
    <c:autoTitleDeleted val="0"/>
    <c:plotArea>
      <c:layout>
        <c:manualLayout>
          <c:layoutTarget val="inner"/>
          <c:xMode val="edge"/>
          <c:yMode val="edge"/>
          <c:x val="0.10751030052867323"/>
          <c:y val="0.11339562146568413"/>
          <c:w val="0.85247409863240775"/>
          <c:h val="0.7426660797835053"/>
        </c:manualLayout>
      </c:layout>
      <c:scatterChart>
        <c:scatterStyle val="lineMarker"/>
        <c:varyColors val="0"/>
        <c:ser>
          <c:idx val="5"/>
          <c:order val="0"/>
          <c:tx>
            <c:v>Recommended</c:v>
          </c:tx>
          <c:spPr>
            <a:ln w="25400">
              <a:solidFill>
                <a:srgbClr val="FFC000"/>
              </a:solidFill>
            </a:ln>
          </c:spPr>
          <c:marker>
            <c:symbol val="none"/>
          </c:marker>
          <c:xVal>
            <c:numRef>
              <c:f>Config!$Q$8:$Q$18</c:f>
              <c:numCache>
                <c:formatCode>General</c:formatCode>
                <c:ptCount val="11"/>
                <c:pt idx="0">
                  <c:v>114.47399999999999</c:v>
                </c:pt>
                <c:pt idx="1">
                  <c:v>134.374</c:v>
                </c:pt>
                <c:pt idx="2">
                  <c:v>144.32399999999998</c:v>
                </c:pt>
                <c:pt idx="3">
                  <c:v>154.274</c:v>
                </c:pt>
                <c:pt idx="4">
                  <c:v>164.22399999999999</c:v>
                </c:pt>
                <c:pt idx="5">
                  <c:v>174.17400000000001</c:v>
                </c:pt>
                <c:pt idx="6">
                  <c:v>184.124</c:v>
                </c:pt>
                <c:pt idx="7">
                  <c:v>194.07399999999998</c:v>
                </c:pt>
                <c:pt idx="8">
                  <c:v>204.024</c:v>
                </c:pt>
                <c:pt idx="9">
                  <c:v>213.97399999999999</c:v>
                </c:pt>
                <c:pt idx="10">
                  <c:v>223.92400000000001</c:v>
                </c:pt>
              </c:numCache>
            </c:numRef>
          </c:xVal>
          <c:yVal>
            <c:numRef>
              <c:f>Config!$N$8:$N$18</c:f>
              <c:numCache>
                <c:formatCode>General</c:formatCode>
                <c:ptCount val="11"/>
                <c:pt idx="0">
                  <c:v>325</c:v>
                </c:pt>
                <c:pt idx="1">
                  <c:v>375</c:v>
                </c:pt>
                <c:pt idx="2">
                  <c:v>400</c:v>
                </c:pt>
                <c:pt idx="3">
                  <c:v>425</c:v>
                </c:pt>
                <c:pt idx="4">
                  <c:v>450</c:v>
                </c:pt>
                <c:pt idx="5">
                  <c:v>475</c:v>
                </c:pt>
                <c:pt idx="6">
                  <c:v>500</c:v>
                </c:pt>
                <c:pt idx="7">
                  <c:v>525</c:v>
                </c:pt>
                <c:pt idx="8">
                  <c:v>550</c:v>
                </c:pt>
                <c:pt idx="9">
                  <c:v>575</c:v>
                </c:pt>
                <c:pt idx="10">
                  <c:v>600</c:v>
                </c:pt>
              </c:numCache>
            </c:numRef>
          </c:yVal>
          <c:smooth val="0"/>
          <c:extLst>
            <c:ext xmlns:c16="http://schemas.microsoft.com/office/drawing/2014/chart" uri="{C3380CC4-5D6E-409C-BE32-E72D297353CC}">
              <c16:uniqueId val="{00000000-A54D-4E93-AA8F-E07FE5D39157}"/>
            </c:ext>
          </c:extLst>
        </c:ser>
        <c:ser>
          <c:idx val="0"/>
          <c:order val="1"/>
          <c:tx>
            <c:v>Fwd limit boundary</c:v>
          </c:tx>
          <c:marker>
            <c:symbol val="none"/>
          </c:marker>
          <c:xVal>
            <c:numRef>
              <c:f>Config!$O$8:$O$18</c:f>
              <c:numCache>
                <c:formatCode>General</c:formatCode>
                <c:ptCount val="11"/>
                <c:pt idx="0">
                  <c:v>87.75</c:v>
                </c:pt>
                <c:pt idx="1">
                  <c:v>101.25</c:v>
                </c:pt>
                <c:pt idx="2">
                  <c:v>108</c:v>
                </c:pt>
                <c:pt idx="3">
                  <c:v>118.425</c:v>
                </c:pt>
                <c:pt idx="4">
                  <c:v>128.85</c:v>
                </c:pt>
                <c:pt idx="5">
                  <c:v>139.27500000000001</c:v>
                </c:pt>
                <c:pt idx="6">
                  <c:v>149.70000000000002</c:v>
                </c:pt>
                <c:pt idx="7">
                  <c:v>160.12500000000003</c:v>
                </c:pt>
                <c:pt idx="8">
                  <c:v>170.55000000000004</c:v>
                </c:pt>
                <c:pt idx="9">
                  <c:v>180.97500000000005</c:v>
                </c:pt>
                <c:pt idx="10">
                  <c:v>191.4</c:v>
                </c:pt>
              </c:numCache>
            </c:numRef>
          </c:xVal>
          <c:yVal>
            <c:numRef>
              <c:f>Config!$N$8:$N$18</c:f>
              <c:numCache>
                <c:formatCode>General</c:formatCode>
                <c:ptCount val="11"/>
                <c:pt idx="0">
                  <c:v>325</c:v>
                </c:pt>
                <c:pt idx="1">
                  <c:v>375</c:v>
                </c:pt>
                <c:pt idx="2">
                  <c:v>400</c:v>
                </c:pt>
                <c:pt idx="3">
                  <c:v>425</c:v>
                </c:pt>
                <c:pt idx="4">
                  <c:v>450</c:v>
                </c:pt>
                <c:pt idx="5">
                  <c:v>475</c:v>
                </c:pt>
                <c:pt idx="6">
                  <c:v>500</c:v>
                </c:pt>
                <c:pt idx="7">
                  <c:v>525</c:v>
                </c:pt>
                <c:pt idx="8">
                  <c:v>550</c:v>
                </c:pt>
                <c:pt idx="9">
                  <c:v>575</c:v>
                </c:pt>
                <c:pt idx="10">
                  <c:v>600</c:v>
                </c:pt>
              </c:numCache>
            </c:numRef>
          </c:yVal>
          <c:smooth val="0"/>
          <c:extLst>
            <c:ext xmlns:c16="http://schemas.microsoft.com/office/drawing/2014/chart" uri="{C3380CC4-5D6E-409C-BE32-E72D297353CC}">
              <c16:uniqueId val="{00000001-A54D-4E93-AA8F-E07FE5D39157}"/>
            </c:ext>
          </c:extLst>
        </c:ser>
        <c:ser>
          <c:idx val="1"/>
          <c:order val="2"/>
          <c:tx>
            <c:v>Rear limit boundary</c:v>
          </c:tx>
          <c:marker>
            <c:symbol val="none"/>
          </c:marker>
          <c:xVal>
            <c:numRef>
              <c:f>Config!$P$7:$P$18</c:f>
              <c:numCache>
                <c:formatCode>General</c:formatCode>
                <c:ptCount val="12"/>
                <c:pt idx="0">
                  <c:v>87.75</c:v>
                </c:pt>
                <c:pt idx="1">
                  <c:v>129.35</c:v>
                </c:pt>
                <c:pt idx="2">
                  <c:v>149.25</c:v>
                </c:pt>
                <c:pt idx="3">
                  <c:v>159.19999999999999</c:v>
                </c:pt>
                <c:pt idx="4">
                  <c:v>169.15</c:v>
                </c:pt>
                <c:pt idx="5">
                  <c:v>179.1</c:v>
                </c:pt>
                <c:pt idx="6">
                  <c:v>189.05</c:v>
                </c:pt>
                <c:pt idx="7">
                  <c:v>199</c:v>
                </c:pt>
                <c:pt idx="8">
                  <c:v>208.95</c:v>
                </c:pt>
                <c:pt idx="9">
                  <c:v>218.9</c:v>
                </c:pt>
                <c:pt idx="10">
                  <c:v>228.85</c:v>
                </c:pt>
                <c:pt idx="11">
                  <c:v>238.8</c:v>
                </c:pt>
              </c:numCache>
            </c:numRef>
          </c:xVal>
          <c:yVal>
            <c:numRef>
              <c:f>Config!$N$7:$N$18</c:f>
              <c:numCache>
                <c:formatCode>General</c:formatCode>
                <c:ptCount val="12"/>
                <c:pt idx="0">
                  <c:v>325</c:v>
                </c:pt>
                <c:pt idx="1">
                  <c:v>325</c:v>
                </c:pt>
                <c:pt idx="2">
                  <c:v>375</c:v>
                </c:pt>
                <c:pt idx="3">
                  <c:v>400</c:v>
                </c:pt>
                <c:pt idx="4">
                  <c:v>425</c:v>
                </c:pt>
                <c:pt idx="5">
                  <c:v>450</c:v>
                </c:pt>
                <c:pt idx="6">
                  <c:v>475</c:v>
                </c:pt>
                <c:pt idx="7">
                  <c:v>500</c:v>
                </c:pt>
                <c:pt idx="8">
                  <c:v>525</c:v>
                </c:pt>
                <c:pt idx="9">
                  <c:v>550</c:v>
                </c:pt>
                <c:pt idx="10">
                  <c:v>575</c:v>
                </c:pt>
                <c:pt idx="11">
                  <c:v>600</c:v>
                </c:pt>
              </c:numCache>
            </c:numRef>
          </c:yVal>
          <c:smooth val="0"/>
          <c:extLst>
            <c:ext xmlns:c16="http://schemas.microsoft.com/office/drawing/2014/chart" uri="{C3380CC4-5D6E-409C-BE32-E72D297353CC}">
              <c16:uniqueId val="{00000002-A54D-4E93-AA8F-E07FE5D39157}"/>
            </c:ext>
          </c:extLst>
        </c:ser>
        <c:ser>
          <c:idx val="2"/>
          <c:order val="3"/>
          <c:tx>
            <c:v>Full water</c:v>
          </c:tx>
          <c:spPr>
            <a:effectLst>
              <a:glow rad="139700">
                <a:schemeClr val="accent2">
                  <a:satMod val="175000"/>
                  <a:alpha val="12000"/>
                </a:schemeClr>
              </a:glow>
            </a:effectLst>
          </c:spPr>
          <c:marker>
            <c:symbol val="diamond"/>
            <c:size val="10"/>
            <c:spPr>
              <a:solidFill>
                <a:schemeClr val="accent1"/>
              </a:solidFill>
              <a:effectLst>
                <a:glow rad="139700">
                  <a:schemeClr val="accent2">
                    <a:satMod val="175000"/>
                    <a:alpha val="12000"/>
                  </a:schemeClr>
                </a:glow>
              </a:effectLst>
            </c:spPr>
          </c:marker>
          <c:xVal>
            <c:numRef>
              <c:f>'JS3 18m CG Envelope'!$J$27</c:f>
              <c:numCache>
                <c:formatCode>0.0</c:formatCode>
                <c:ptCount val="1"/>
                <c:pt idx="0">
                  <c:v>138.40910999999997</c:v>
                </c:pt>
              </c:numCache>
            </c:numRef>
          </c:xVal>
          <c:yVal>
            <c:numRef>
              <c:f>'JS3 18m CG Envelope'!$I$24</c:f>
              <c:numCache>
                <c:formatCode>0.0</c:formatCode>
                <c:ptCount val="1"/>
                <c:pt idx="0">
                  <c:v>448.90999999999997</c:v>
                </c:pt>
              </c:numCache>
            </c:numRef>
          </c:yVal>
          <c:smooth val="0"/>
          <c:extLst>
            <c:ext xmlns:c16="http://schemas.microsoft.com/office/drawing/2014/chart" uri="{C3380CC4-5D6E-409C-BE32-E72D297353CC}">
              <c16:uniqueId val="{00000003-A54D-4E93-AA8F-E07FE5D39157}"/>
            </c:ext>
          </c:extLst>
        </c:ser>
        <c:ser>
          <c:idx val="3"/>
          <c:order val="4"/>
          <c:tx>
            <c:v>Empty CG</c:v>
          </c:tx>
          <c:spPr>
            <a:effectLst>
              <a:glow rad="139700">
                <a:srgbClr val="FF0000">
                  <a:alpha val="12000"/>
                </a:srgbClr>
              </a:glow>
              <a:softEdge rad="0"/>
            </a:effectLst>
          </c:spPr>
          <c:marker>
            <c:symbol val="diamond"/>
            <c:size val="10"/>
            <c:spPr>
              <a:solidFill>
                <a:srgbClr val="00B050"/>
              </a:solidFill>
              <a:effectLst>
                <a:glow rad="139700">
                  <a:srgbClr val="FF0000">
                    <a:alpha val="12000"/>
                  </a:srgbClr>
                </a:glow>
                <a:softEdge rad="0"/>
              </a:effectLst>
            </c:spPr>
          </c:marker>
          <c:xVal>
            <c:numRef>
              <c:f>'JS3 18m CG Envelope'!$J$28</c:f>
              <c:numCache>
                <c:formatCode>0.0</c:formatCode>
                <c:ptCount val="1"/>
                <c:pt idx="0">
                  <c:v>138.40910999999997</c:v>
                </c:pt>
              </c:numCache>
            </c:numRef>
          </c:xVal>
          <c:yVal>
            <c:numRef>
              <c:f>'JS3 18m CG Envelope'!$E$28</c:f>
              <c:numCache>
                <c:formatCode>0.0</c:formatCode>
                <c:ptCount val="1"/>
                <c:pt idx="0">
                  <c:v>448.90999999999997</c:v>
                </c:pt>
              </c:numCache>
            </c:numRef>
          </c:yVal>
          <c:smooth val="0"/>
          <c:extLst>
            <c:ext xmlns:c16="http://schemas.microsoft.com/office/drawing/2014/chart" uri="{C3380CC4-5D6E-409C-BE32-E72D297353CC}">
              <c16:uniqueId val="{00000004-A54D-4E93-AA8F-E07FE5D39157}"/>
            </c:ext>
          </c:extLst>
        </c:ser>
        <c:ser>
          <c:idx val="4"/>
          <c:order val="5"/>
          <c:tx>
            <c:v>600kg limit</c:v>
          </c:tx>
          <c:marker>
            <c:symbol val="none"/>
          </c:marker>
          <c:xVal>
            <c:numRef>
              <c:f>Config!$O$18:$P$18</c:f>
              <c:numCache>
                <c:formatCode>General</c:formatCode>
                <c:ptCount val="2"/>
                <c:pt idx="0">
                  <c:v>191.4</c:v>
                </c:pt>
                <c:pt idx="1">
                  <c:v>238.8</c:v>
                </c:pt>
              </c:numCache>
            </c:numRef>
          </c:xVal>
          <c:yVal>
            <c:numRef>
              <c:f>Config!$N$18:$N$19</c:f>
              <c:numCache>
                <c:formatCode>General</c:formatCode>
                <c:ptCount val="2"/>
                <c:pt idx="0">
                  <c:v>600</c:v>
                </c:pt>
                <c:pt idx="1">
                  <c:v>600</c:v>
                </c:pt>
              </c:numCache>
            </c:numRef>
          </c:yVal>
          <c:smooth val="0"/>
          <c:extLst>
            <c:ext xmlns:c16="http://schemas.microsoft.com/office/drawing/2014/chart" uri="{C3380CC4-5D6E-409C-BE32-E72D297353CC}">
              <c16:uniqueId val="{00000005-A54D-4E93-AA8F-E07FE5D39157}"/>
            </c:ext>
          </c:extLst>
        </c:ser>
        <c:ser>
          <c:idx val="6"/>
          <c:order val="6"/>
          <c:tx>
            <c:v>Pylon extended</c:v>
          </c:tx>
          <c:marker>
            <c:symbol val="x"/>
            <c:size val="5"/>
            <c:spPr>
              <a:solidFill>
                <a:srgbClr val="FF0000"/>
              </a:solidFill>
            </c:spPr>
          </c:marker>
          <c:xVal>
            <c:numRef>
              <c:f>'JS3 18m CG Envelope'!$J$30</c:f>
              <c:numCache>
                <c:formatCode>0.0</c:formatCode>
                <c:ptCount val="1"/>
                <c:pt idx="0">
                  <c:v>131.97160999999997</c:v>
                </c:pt>
              </c:numCache>
            </c:numRef>
          </c:xVal>
          <c:yVal>
            <c:numRef>
              <c:f>'JS3 18m CG Envelope'!$E$30</c:f>
              <c:numCache>
                <c:formatCode>0.0</c:formatCode>
                <c:ptCount val="1"/>
                <c:pt idx="0">
                  <c:v>448.90999999999997</c:v>
                </c:pt>
              </c:numCache>
            </c:numRef>
          </c:yVal>
          <c:smooth val="0"/>
          <c:extLst>
            <c:ext xmlns:c16="http://schemas.microsoft.com/office/drawing/2014/chart" uri="{C3380CC4-5D6E-409C-BE32-E72D297353CC}">
              <c16:uniqueId val="{00000006-A54D-4E93-AA8F-E07FE5D39157}"/>
            </c:ext>
          </c:extLst>
        </c:ser>
        <c:ser>
          <c:idx val="7"/>
          <c:order val="7"/>
          <c:tx>
            <c:v>Pylon Ext with water</c:v>
          </c:tx>
          <c:marker>
            <c:symbol val="star"/>
            <c:size val="5"/>
            <c:spPr>
              <a:solidFill>
                <a:srgbClr val="FF0000"/>
              </a:solidFill>
            </c:spPr>
          </c:marker>
          <c:xVal>
            <c:numRef>
              <c:f>'JS3 18m CG Envelope'!$J$29</c:f>
              <c:numCache>
                <c:formatCode>0.0</c:formatCode>
                <c:ptCount val="1"/>
                <c:pt idx="0">
                  <c:v>131.97160999999997</c:v>
                </c:pt>
              </c:numCache>
            </c:numRef>
          </c:xVal>
          <c:yVal>
            <c:numRef>
              <c:f>'JS3 18m CG Envelope'!$E$29</c:f>
              <c:numCache>
                <c:formatCode>0.0</c:formatCode>
                <c:ptCount val="1"/>
                <c:pt idx="0">
                  <c:v>448.90999999999997</c:v>
                </c:pt>
              </c:numCache>
            </c:numRef>
          </c:yVal>
          <c:smooth val="0"/>
          <c:extLst>
            <c:ext xmlns:c16="http://schemas.microsoft.com/office/drawing/2014/chart" uri="{C3380CC4-5D6E-409C-BE32-E72D297353CC}">
              <c16:uniqueId val="{00000007-A54D-4E93-AA8F-E07FE5D39157}"/>
            </c:ext>
          </c:extLst>
        </c:ser>
        <c:ser>
          <c:idx val="8"/>
          <c:order val="8"/>
          <c:tx>
            <c:v>575 kg Limit</c:v>
          </c:tx>
          <c:spPr>
            <a:ln>
              <a:solidFill>
                <a:schemeClr val="tx2">
                  <a:lumMod val="60000"/>
                  <a:lumOff val="40000"/>
                </a:schemeClr>
              </a:solidFill>
              <a:prstDash val="dash"/>
            </a:ln>
          </c:spPr>
          <c:marker>
            <c:symbol val="none"/>
          </c:marker>
          <c:xVal>
            <c:numRef>
              <c:f>Config!$T$3:$T$4</c:f>
              <c:numCache>
                <c:formatCode>General</c:formatCode>
                <c:ptCount val="2"/>
                <c:pt idx="0">
                  <c:v>180.97500000000005</c:v>
                </c:pt>
                <c:pt idx="1">
                  <c:v>228.85</c:v>
                </c:pt>
              </c:numCache>
            </c:numRef>
          </c:xVal>
          <c:yVal>
            <c:numRef>
              <c:f>Config!$S$3:$S$4</c:f>
              <c:numCache>
                <c:formatCode>General</c:formatCode>
                <c:ptCount val="2"/>
                <c:pt idx="0">
                  <c:v>575</c:v>
                </c:pt>
                <c:pt idx="1">
                  <c:v>575</c:v>
                </c:pt>
              </c:numCache>
            </c:numRef>
          </c:yVal>
          <c:smooth val="0"/>
          <c:extLst>
            <c:ext xmlns:c16="http://schemas.microsoft.com/office/drawing/2014/chart" uri="{C3380CC4-5D6E-409C-BE32-E72D297353CC}">
              <c16:uniqueId val="{00000008-A54D-4E93-AA8F-E07FE5D39157}"/>
            </c:ext>
          </c:extLst>
        </c:ser>
        <c:dLbls>
          <c:showLegendKey val="0"/>
          <c:showVal val="0"/>
          <c:showCatName val="0"/>
          <c:showSerName val="0"/>
          <c:showPercent val="0"/>
          <c:showBubbleSize val="0"/>
        </c:dLbls>
        <c:axId val="207212544"/>
        <c:axId val="207214464"/>
      </c:scatterChart>
      <c:valAx>
        <c:axId val="207212544"/>
        <c:scaling>
          <c:orientation val="minMax"/>
          <c:max val="250"/>
          <c:min val="80"/>
        </c:scaling>
        <c:delete val="0"/>
        <c:axPos val="b"/>
        <c:majorGridlines>
          <c:spPr>
            <a:ln w="12700"/>
          </c:spPr>
        </c:majorGridlines>
        <c:minorGridlines>
          <c:spPr>
            <a:ln>
              <a:solidFill>
                <a:schemeClr val="tx2">
                  <a:lumMod val="40000"/>
                  <a:lumOff val="60000"/>
                </a:schemeClr>
              </a:solidFill>
            </a:ln>
          </c:spPr>
        </c:minorGridlines>
        <c:title>
          <c:tx>
            <c:rich>
              <a:bodyPr/>
              <a:lstStyle/>
              <a:p>
                <a:pPr>
                  <a:defRPr sz="1400" b="1" i="0" u="none" strike="noStrike" baseline="0">
                    <a:solidFill>
                      <a:srgbClr val="000000"/>
                    </a:solidFill>
                    <a:latin typeface="Calibri"/>
                    <a:ea typeface="Calibri"/>
                    <a:cs typeface="Calibri"/>
                  </a:defRPr>
                </a:pPr>
                <a:r>
                  <a:rPr lang="en-ZA"/>
                  <a:t>Moment (kg.m)</a:t>
                </a:r>
              </a:p>
            </c:rich>
          </c:tx>
          <c:layout>
            <c:manualLayout>
              <c:xMode val="edge"/>
              <c:yMode val="edge"/>
              <c:x val="0.46240813648293966"/>
              <c:y val="0.93042139417612169"/>
            </c:manualLayout>
          </c:layout>
          <c:overlay val="0"/>
        </c:title>
        <c:numFmt formatCode="General" sourceLinked="1"/>
        <c:majorTickMark val="cross"/>
        <c:minorTickMark val="cross"/>
        <c:tickLblPos val="nextTo"/>
        <c:txPr>
          <a:bodyPr rot="-3180000" vert="horz"/>
          <a:lstStyle/>
          <a:p>
            <a:pPr>
              <a:defRPr sz="1000" b="1" i="0" u="none" strike="noStrike" baseline="0">
                <a:solidFill>
                  <a:srgbClr val="000000"/>
                </a:solidFill>
                <a:latin typeface="Calibri"/>
                <a:ea typeface="Calibri"/>
                <a:cs typeface="Calibri"/>
              </a:defRPr>
            </a:pPr>
            <a:endParaRPr lang="en-US"/>
          </a:p>
        </c:txPr>
        <c:crossAx val="207214464"/>
        <c:crosses val="autoZero"/>
        <c:crossBetween val="midCat"/>
        <c:majorUnit val="10"/>
        <c:minorUnit val="5"/>
      </c:valAx>
      <c:valAx>
        <c:axId val="207214464"/>
        <c:scaling>
          <c:orientation val="minMax"/>
          <c:max val="650"/>
          <c:min val="300"/>
        </c:scaling>
        <c:delete val="0"/>
        <c:axPos val="l"/>
        <c:majorGridlines/>
        <c:minorGridlines/>
        <c:title>
          <c:tx>
            <c:rich>
              <a:bodyPr/>
              <a:lstStyle/>
              <a:p>
                <a:pPr>
                  <a:defRPr sz="1400" b="1" i="0" u="none" strike="noStrike" baseline="0">
                    <a:solidFill>
                      <a:srgbClr val="000000"/>
                    </a:solidFill>
                    <a:latin typeface="Calibri"/>
                    <a:ea typeface="Calibri"/>
                    <a:cs typeface="Calibri"/>
                  </a:defRPr>
                </a:pPr>
                <a:r>
                  <a:rPr lang="en-ZA"/>
                  <a:t>Aircraft Weight (kg)</a:t>
                </a:r>
              </a:p>
            </c:rich>
          </c:tx>
          <c:layout>
            <c:manualLayout>
              <c:xMode val="edge"/>
              <c:yMode val="edge"/>
              <c:x val="3.8984790362743119E-3"/>
              <c:y val="0.32538450410234154"/>
            </c:manualLayout>
          </c:layout>
          <c:overlay val="0"/>
        </c:title>
        <c:numFmt formatCode="General" sourceLinked="1"/>
        <c:majorTickMark val="out"/>
        <c:minorTickMark val="none"/>
        <c:tickLblPos val="nextTo"/>
        <c:spPr>
          <a:ln w="15875"/>
        </c:spPr>
        <c:txPr>
          <a:bodyPr rot="0" vert="horz"/>
          <a:lstStyle/>
          <a:p>
            <a:pPr>
              <a:defRPr sz="1000" b="1" i="0" u="none" strike="noStrike" baseline="0">
                <a:solidFill>
                  <a:srgbClr val="000000"/>
                </a:solidFill>
                <a:latin typeface="Calibri"/>
                <a:ea typeface="Calibri"/>
                <a:cs typeface="Calibri"/>
              </a:defRPr>
            </a:pPr>
            <a:endParaRPr lang="en-US"/>
          </a:p>
        </c:txPr>
        <c:crossAx val="207212544"/>
        <c:crossesAt val="10"/>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9686630080331"/>
          <c:y val="2.7396272435642514E-2"/>
          <c:w val="0.57004438081603437"/>
          <c:h val="0.83769170267857929"/>
        </c:manualLayout>
      </c:layout>
      <c:scatterChart>
        <c:scatterStyle val="lineMarker"/>
        <c:varyColors val="0"/>
        <c:ser>
          <c:idx val="0"/>
          <c:order val="0"/>
          <c:spPr>
            <a:ln w="28575">
              <a:noFill/>
            </a:ln>
          </c:spPr>
          <c:trendline>
            <c:trendlineType val="poly"/>
            <c:order val="2"/>
            <c:dispRSqr val="0"/>
            <c:dispEq val="1"/>
            <c:trendlineLbl>
              <c:layout>
                <c:manualLayout>
                  <c:x val="1.630107845949863E-2"/>
                  <c:y val="0.30434128025663459"/>
                </c:manualLayout>
              </c:layout>
              <c:numFmt formatCode="General" sourceLinked="0"/>
              <c:txPr>
                <a:bodyPr/>
                <a:lstStyle/>
                <a:p>
                  <a:pPr>
                    <a:defRPr sz="1000" b="0" i="0" u="none" strike="noStrike" baseline="0">
                      <a:solidFill>
                        <a:srgbClr val="000000"/>
                      </a:solidFill>
                      <a:latin typeface="Calibri"/>
                      <a:ea typeface="Calibri"/>
                      <a:cs typeface="Calibri"/>
                    </a:defRPr>
                  </a:pPr>
                  <a:endParaRPr lang="en-US"/>
                </a:p>
              </c:txPr>
            </c:trendlineLbl>
          </c:trendline>
          <c:xVal>
            <c:numRef>
              <c:f>'Main Water Ballast'!$B$7:$E$7</c:f>
              <c:numCache>
                <c:formatCode>General</c:formatCode>
                <c:ptCount val="4"/>
                <c:pt idx="0">
                  <c:v>0</c:v>
                </c:pt>
                <c:pt idx="1">
                  <c:v>40</c:v>
                </c:pt>
                <c:pt idx="2">
                  <c:v>80</c:v>
                </c:pt>
                <c:pt idx="3">
                  <c:v>132</c:v>
                </c:pt>
              </c:numCache>
            </c:numRef>
          </c:xVal>
          <c:yVal>
            <c:numRef>
              <c:f>'Main Water Ballast'!$B$8:$E$8</c:f>
              <c:numCache>
                <c:formatCode>General</c:formatCode>
                <c:ptCount val="4"/>
                <c:pt idx="0">
                  <c:v>150</c:v>
                </c:pt>
                <c:pt idx="1">
                  <c:v>164.86</c:v>
                </c:pt>
                <c:pt idx="2">
                  <c:v>186.1</c:v>
                </c:pt>
                <c:pt idx="3">
                  <c:v>212.5</c:v>
                </c:pt>
              </c:numCache>
            </c:numRef>
          </c:yVal>
          <c:smooth val="0"/>
          <c:extLst>
            <c:ext xmlns:c16="http://schemas.microsoft.com/office/drawing/2014/chart" uri="{C3380CC4-5D6E-409C-BE32-E72D297353CC}">
              <c16:uniqueId val="{00000001-8890-41C8-80ED-7F9CC4E9C225}"/>
            </c:ext>
          </c:extLst>
        </c:ser>
        <c:dLbls>
          <c:showLegendKey val="0"/>
          <c:showVal val="0"/>
          <c:showCatName val="0"/>
          <c:showSerName val="0"/>
          <c:showPercent val="0"/>
          <c:showBubbleSize val="0"/>
        </c:dLbls>
        <c:axId val="356181888"/>
        <c:axId val="356188160"/>
      </c:scatterChart>
      <c:valAx>
        <c:axId val="356181888"/>
        <c:scaling>
          <c:orientation val="minMax"/>
        </c:scaling>
        <c:delete val="0"/>
        <c:axPos val="b"/>
        <c:title>
          <c:tx>
            <c:rich>
              <a:bodyPr/>
              <a:lstStyle/>
              <a:p>
                <a:pPr>
                  <a:defRPr sz="1000" b="0" i="0" u="none" strike="noStrike" baseline="0">
                    <a:solidFill>
                      <a:srgbClr val="000000"/>
                    </a:solidFill>
                    <a:latin typeface="Calibri"/>
                    <a:ea typeface="Calibri"/>
                    <a:cs typeface="Calibri"/>
                  </a:defRPr>
                </a:pPr>
                <a:r>
                  <a:rPr lang="en-ZA"/>
                  <a:t>Water in main tanks (l)</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56188160"/>
        <c:crosses val="autoZero"/>
        <c:crossBetween val="midCat"/>
      </c:valAx>
      <c:valAx>
        <c:axId val="356188160"/>
        <c:scaling>
          <c:orientation val="minMax"/>
        </c:scaling>
        <c:delete val="0"/>
        <c:axPos val="l"/>
        <c:majorGridlines/>
        <c:title>
          <c:tx>
            <c:rich>
              <a:bodyPr/>
              <a:lstStyle/>
              <a:p>
                <a:pPr>
                  <a:defRPr sz="1000" b="0" i="0" u="none" strike="noStrike" baseline="0">
                    <a:solidFill>
                      <a:srgbClr val="000000"/>
                    </a:solidFill>
                    <a:latin typeface="Calibri"/>
                    <a:ea typeface="Calibri"/>
                    <a:cs typeface="Calibri"/>
                  </a:defRPr>
                </a:pPr>
                <a:r>
                  <a:rPr lang="en-ZA"/>
                  <a:t>Arm of main tank</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56181888"/>
        <c:crosses val="autoZero"/>
        <c:crossBetween val="midCat"/>
      </c:valAx>
    </c:plotArea>
    <c:legend>
      <c:legendPos val="r"/>
      <c:layout>
        <c:manualLayout>
          <c:xMode val="edge"/>
          <c:yMode val="edge"/>
          <c:x val="0.76161764627906359"/>
          <c:y val="0.42087683484008942"/>
          <c:w val="0.22424284843182474"/>
          <c:h val="0.15151550500631861"/>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9686630080331"/>
          <c:y val="2.7396272435642514E-2"/>
          <c:w val="0.57004438081603437"/>
          <c:h val="0.83769170267857929"/>
        </c:manualLayout>
      </c:layout>
      <c:scatterChart>
        <c:scatterStyle val="lineMarker"/>
        <c:varyColors val="0"/>
        <c:ser>
          <c:idx val="0"/>
          <c:order val="0"/>
          <c:spPr>
            <a:ln w="28575">
              <a:noFill/>
            </a:ln>
          </c:spPr>
          <c:trendline>
            <c:trendlineType val="poly"/>
            <c:order val="2"/>
            <c:dispRSqr val="0"/>
            <c:dispEq val="1"/>
            <c:trendlineLbl>
              <c:layout>
                <c:manualLayout>
                  <c:x val="1.630107845949863E-2"/>
                  <c:y val="0.30434128025663459"/>
                </c:manualLayout>
              </c:layout>
              <c:numFmt formatCode="General" sourceLinked="0"/>
              <c:txPr>
                <a:bodyPr/>
                <a:lstStyle/>
                <a:p>
                  <a:pPr>
                    <a:defRPr sz="1000" b="0" i="0" u="none" strike="noStrike" baseline="0">
                      <a:solidFill>
                        <a:srgbClr val="000000"/>
                      </a:solidFill>
                      <a:latin typeface="Calibri"/>
                      <a:ea typeface="Calibri"/>
                      <a:cs typeface="Calibri"/>
                    </a:defRPr>
                  </a:pPr>
                  <a:endParaRPr lang="en-US"/>
                </a:p>
              </c:txPr>
            </c:trendlineLbl>
          </c:trendline>
          <c:xVal>
            <c:numRef>
              <c:f>'Main Water Ballast_132l'!$B$7:$E$7</c:f>
              <c:numCache>
                <c:formatCode>General</c:formatCode>
                <c:ptCount val="4"/>
                <c:pt idx="0">
                  <c:v>0</c:v>
                </c:pt>
                <c:pt idx="1">
                  <c:v>40</c:v>
                </c:pt>
                <c:pt idx="2">
                  <c:v>80</c:v>
                </c:pt>
                <c:pt idx="3">
                  <c:v>132</c:v>
                </c:pt>
              </c:numCache>
            </c:numRef>
          </c:xVal>
          <c:yVal>
            <c:numRef>
              <c:f>'Main Water Ballast_132l'!$B$8:$E$8</c:f>
              <c:numCache>
                <c:formatCode>General</c:formatCode>
                <c:ptCount val="4"/>
                <c:pt idx="0">
                  <c:v>150</c:v>
                </c:pt>
                <c:pt idx="1">
                  <c:v>164.86</c:v>
                </c:pt>
                <c:pt idx="2">
                  <c:v>186.1</c:v>
                </c:pt>
                <c:pt idx="3">
                  <c:v>212.5</c:v>
                </c:pt>
              </c:numCache>
            </c:numRef>
          </c:yVal>
          <c:smooth val="0"/>
          <c:extLst>
            <c:ext xmlns:c16="http://schemas.microsoft.com/office/drawing/2014/chart" uri="{C3380CC4-5D6E-409C-BE32-E72D297353CC}">
              <c16:uniqueId val="{00000001-3731-41AB-A1A3-7908FEB81A2D}"/>
            </c:ext>
          </c:extLst>
        </c:ser>
        <c:dLbls>
          <c:showLegendKey val="0"/>
          <c:showVal val="0"/>
          <c:showCatName val="0"/>
          <c:showSerName val="0"/>
          <c:showPercent val="0"/>
          <c:showBubbleSize val="0"/>
        </c:dLbls>
        <c:axId val="356242944"/>
        <c:axId val="356244864"/>
      </c:scatterChart>
      <c:valAx>
        <c:axId val="356242944"/>
        <c:scaling>
          <c:orientation val="minMax"/>
        </c:scaling>
        <c:delete val="0"/>
        <c:axPos val="b"/>
        <c:title>
          <c:tx>
            <c:rich>
              <a:bodyPr/>
              <a:lstStyle/>
              <a:p>
                <a:pPr>
                  <a:defRPr sz="1000" b="0" i="0" u="none" strike="noStrike" baseline="0">
                    <a:solidFill>
                      <a:srgbClr val="000000"/>
                    </a:solidFill>
                    <a:latin typeface="Calibri"/>
                    <a:ea typeface="Calibri"/>
                    <a:cs typeface="Calibri"/>
                  </a:defRPr>
                </a:pPr>
                <a:r>
                  <a:rPr lang="en-ZA"/>
                  <a:t>Water in main tanks (l)</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56244864"/>
        <c:crosses val="autoZero"/>
        <c:crossBetween val="midCat"/>
      </c:valAx>
      <c:valAx>
        <c:axId val="356244864"/>
        <c:scaling>
          <c:orientation val="minMax"/>
        </c:scaling>
        <c:delete val="0"/>
        <c:axPos val="l"/>
        <c:majorGridlines/>
        <c:title>
          <c:tx>
            <c:rich>
              <a:bodyPr/>
              <a:lstStyle/>
              <a:p>
                <a:pPr>
                  <a:defRPr sz="1000" b="0" i="0" u="none" strike="noStrike" baseline="0">
                    <a:solidFill>
                      <a:srgbClr val="000000"/>
                    </a:solidFill>
                    <a:latin typeface="Calibri"/>
                    <a:ea typeface="Calibri"/>
                    <a:cs typeface="Calibri"/>
                  </a:defRPr>
                </a:pPr>
                <a:r>
                  <a:rPr lang="en-ZA"/>
                  <a:t>Arm of main tank</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56242944"/>
        <c:crosses val="autoZero"/>
        <c:crossBetween val="midCat"/>
      </c:valAx>
    </c:plotArea>
    <c:legend>
      <c:legendPos val="r"/>
      <c:layout>
        <c:manualLayout>
          <c:xMode val="edge"/>
          <c:yMode val="edge"/>
          <c:x val="0.76161764627906359"/>
          <c:y val="0.42087683484008942"/>
          <c:w val="0.22424284843182474"/>
          <c:h val="0.15151550500631861"/>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ZA"/>
              <a:t>Expendable tank loading chart</a:t>
            </a:r>
          </a:p>
        </c:rich>
      </c:tx>
      <c:layout>
        <c:manualLayout>
          <c:xMode val="edge"/>
          <c:yMode val="edge"/>
          <c:x val="0.23319348915377675"/>
          <c:y val="9.574255391989045E-2"/>
        </c:manualLayout>
      </c:layout>
      <c:overlay val="0"/>
    </c:title>
    <c:autoTitleDeleted val="0"/>
    <c:plotArea>
      <c:layout>
        <c:manualLayout>
          <c:layoutTarget val="inner"/>
          <c:xMode val="edge"/>
          <c:yMode val="edge"/>
          <c:x val="0.19115716989408085"/>
          <c:y val="0.23077763585738131"/>
          <c:w val="0.61600955182326655"/>
          <c:h val="0.56596799862304425"/>
        </c:manualLayout>
      </c:layout>
      <c:scatterChart>
        <c:scatterStyle val="smoothMarker"/>
        <c:varyColors val="0"/>
        <c:ser>
          <c:idx val="0"/>
          <c:order val="0"/>
          <c:tx>
            <c:strRef>
              <c:f>'Main Water Ballast_132l'!$D$35</c:f>
              <c:strCache>
                <c:ptCount val="1"/>
                <c:pt idx="0">
                  <c:v>W_Tail</c:v>
                </c:pt>
              </c:strCache>
            </c:strRef>
          </c:tx>
          <c:marker>
            <c:symbol val="none"/>
          </c:marker>
          <c:xVal>
            <c:numRef>
              <c:f>'Main Water Ballast_132l'!$B$36:$B$49</c:f>
              <c:numCache>
                <c:formatCode>General</c:formatCode>
                <c:ptCount val="14"/>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numCache>
            </c:numRef>
          </c:xVal>
          <c:yVal>
            <c:numRef>
              <c:f>'Main Water Ballast_132l'!$D$36:$D$49</c:f>
              <c:numCache>
                <c:formatCode>0.00</c:formatCode>
                <c:ptCount val="14"/>
                <c:pt idx="0">
                  <c:v>0</c:v>
                </c:pt>
                <c:pt idx="1">
                  <c:v>0.62905582711602781</c:v>
                </c:pt>
                <c:pt idx="2">
                  <c:v>1.2371391818883457</c:v>
                </c:pt>
                <c:pt idx="3">
                  <c:v>1.8231695394906096</c:v>
                </c:pt>
                <c:pt idx="4">
                  <c:v>2.3860663750964752</c:v>
                </c:pt>
                <c:pt idx="5">
                  <c:v>2.924749163879599</c:v>
                </c:pt>
                <c:pt idx="6">
                  <c:v>3.4381373810136351</c:v>
                </c:pt>
                <c:pt idx="7">
                  <c:v>3.9251505016722406</c:v>
                </c:pt>
                <c:pt idx="8">
                  <c:v>4.3847080010290709</c:v>
                </c:pt>
                <c:pt idx="9">
                  <c:v>4.8157293542577824</c:v>
                </c:pt>
                <c:pt idx="10">
                  <c:v>5.2171340365320296</c:v>
                </c:pt>
                <c:pt idx="11">
                  <c:v>5.5878415230254683</c:v>
                </c:pt>
                <c:pt idx="12">
                  <c:v>5.9</c:v>
                </c:pt>
                <c:pt idx="13">
                  <c:v>5.9</c:v>
                </c:pt>
              </c:numCache>
            </c:numRef>
          </c:yVal>
          <c:smooth val="1"/>
          <c:extLst>
            <c:ext xmlns:c16="http://schemas.microsoft.com/office/drawing/2014/chart" uri="{C3380CC4-5D6E-409C-BE32-E72D297353CC}">
              <c16:uniqueId val="{00000000-45D7-4389-BEEA-38353D6C3F08}"/>
            </c:ext>
          </c:extLst>
        </c:ser>
        <c:dLbls>
          <c:showLegendKey val="0"/>
          <c:showVal val="0"/>
          <c:showCatName val="0"/>
          <c:showSerName val="0"/>
          <c:showPercent val="0"/>
          <c:showBubbleSize val="0"/>
        </c:dLbls>
        <c:axId val="169164160"/>
        <c:axId val="169178624"/>
      </c:scatterChart>
      <c:valAx>
        <c:axId val="169164160"/>
        <c:scaling>
          <c:orientation val="minMax"/>
          <c:max val="140"/>
        </c:scaling>
        <c:delete val="0"/>
        <c:axPos val="b"/>
        <c:majorGridlines/>
        <c:title>
          <c:tx>
            <c:rich>
              <a:bodyPr/>
              <a:lstStyle/>
              <a:p>
                <a:pPr>
                  <a:defRPr sz="1000" b="0" i="0" u="none" strike="noStrike" baseline="0">
                    <a:solidFill>
                      <a:srgbClr val="000000"/>
                    </a:solidFill>
                    <a:latin typeface="Calibri"/>
                    <a:ea typeface="Calibri"/>
                    <a:cs typeface="Calibri"/>
                  </a:defRPr>
                </a:pPr>
                <a:r>
                  <a:rPr lang="en-ZA"/>
                  <a:t>Water Loading- Main Tanks (litres)</a:t>
                </a:r>
              </a:p>
            </c:rich>
          </c:tx>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9178624"/>
        <c:crosses val="autoZero"/>
        <c:crossBetween val="midCat"/>
        <c:majorUnit val="20"/>
      </c:valAx>
      <c:valAx>
        <c:axId val="169178624"/>
        <c:scaling>
          <c:orientation val="minMax"/>
          <c:max val="6"/>
        </c:scaling>
        <c:delete val="0"/>
        <c:axPos val="l"/>
        <c:majorGridlines/>
        <c:title>
          <c:tx>
            <c:rich>
              <a:bodyPr/>
              <a:lstStyle/>
              <a:p>
                <a:pPr>
                  <a:defRPr sz="1100" b="0" i="0" u="none" strike="noStrike" baseline="0">
                    <a:solidFill>
                      <a:srgbClr val="000000"/>
                    </a:solidFill>
                    <a:latin typeface="Calibri"/>
                    <a:ea typeface="Calibri"/>
                    <a:cs typeface="Calibri"/>
                  </a:defRPr>
                </a:pPr>
                <a:r>
                  <a:rPr lang="en-ZA" sz="1000" b="0" i="0" u="none" strike="noStrike" baseline="0">
                    <a:solidFill>
                      <a:srgbClr val="000000"/>
                    </a:solidFill>
                    <a:latin typeface="Calibri"/>
                    <a:cs typeface="Calibri"/>
                  </a:rPr>
                  <a:t>Expendable tail tank quantity to </a:t>
                </a:r>
              </a:p>
              <a:p>
                <a:pPr>
                  <a:defRPr sz="1100" b="0" i="0" u="none" strike="noStrike" baseline="0">
                    <a:solidFill>
                      <a:srgbClr val="000000"/>
                    </a:solidFill>
                    <a:latin typeface="Calibri"/>
                    <a:ea typeface="Calibri"/>
                    <a:cs typeface="Calibri"/>
                  </a:defRPr>
                </a:pPr>
                <a:r>
                  <a:rPr lang="en-ZA" sz="1000" b="0" i="0" u="none" strike="noStrike" baseline="0">
                    <a:solidFill>
                      <a:srgbClr val="000000"/>
                    </a:solidFill>
                    <a:latin typeface="Calibri"/>
                    <a:cs typeface="Calibri"/>
                  </a:rPr>
                  <a:t>maintain CG position (litres)</a:t>
                </a:r>
              </a:p>
            </c:rich>
          </c:tx>
          <c:layout>
            <c:manualLayout>
              <c:xMode val="edge"/>
              <c:yMode val="edge"/>
              <c:x val="7.3394748581328523E-2"/>
              <c:y val="0.23046384419338886"/>
            </c:manualLayout>
          </c:layout>
          <c:overlay val="0"/>
        </c:title>
        <c:numFmt formatCode="0"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69164160"/>
        <c:crosses val="autoZero"/>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b="1" i="0" u="none" strike="noStrike" baseline="0">
                <a:solidFill>
                  <a:srgbClr val="000000"/>
                </a:solidFill>
                <a:latin typeface="Calibri"/>
                <a:ea typeface="Calibri"/>
                <a:cs typeface="Calibri"/>
              </a:defRPr>
            </a:pPr>
            <a:r>
              <a:rPr lang="en-ZA" sz="2800"/>
              <a:t>Expendable tank loading chart</a:t>
            </a:r>
          </a:p>
        </c:rich>
      </c:tx>
      <c:layout>
        <c:manualLayout>
          <c:xMode val="edge"/>
          <c:yMode val="edge"/>
          <c:x val="0.24610476870480016"/>
          <c:y val="0.126761410647209"/>
        </c:manualLayout>
      </c:layout>
      <c:overlay val="0"/>
    </c:title>
    <c:autoTitleDeleted val="0"/>
    <c:plotArea>
      <c:layout>
        <c:manualLayout>
          <c:layoutTarget val="inner"/>
          <c:xMode val="edge"/>
          <c:yMode val="edge"/>
          <c:x val="0.19115716989408085"/>
          <c:y val="0.23077763585738131"/>
          <c:w val="0.61600955182326655"/>
          <c:h val="0.56596799862304425"/>
        </c:manualLayout>
      </c:layout>
      <c:scatterChart>
        <c:scatterStyle val="smoothMarker"/>
        <c:varyColors val="0"/>
        <c:ser>
          <c:idx val="0"/>
          <c:order val="0"/>
          <c:tx>
            <c:strRef>
              <c:f>'Main Water Ballast'!$E$35</c:f>
              <c:strCache>
                <c:ptCount val="1"/>
                <c:pt idx="0">
                  <c:v>W_Tail_132</c:v>
                </c:pt>
              </c:strCache>
            </c:strRef>
          </c:tx>
          <c:spPr>
            <a:ln w="50800"/>
          </c:spPr>
          <c:marker>
            <c:symbol val="none"/>
          </c:marker>
          <c:xVal>
            <c:numRef>
              <c:f>'Main Water Ballast'!$B$36:$B$52</c:f>
              <c:numCache>
                <c:formatCode>General</c:formatCode>
                <c:ptCount val="17"/>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156</c:v>
                </c:pt>
              </c:numCache>
            </c:numRef>
          </c:xVal>
          <c:yVal>
            <c:numRef>
              <c:f>'Main Water Ballast'!$E$36:$E$49</c:f>
              <c:numCache>
                <c:formatCode>0.00</c:formatCode>
                <c:ptCount val="14"/>
                <c:pt idx="0">
                  <c:v>0</c:v>
                </c:pt>
                <c:pt idx="1">
                  <c:v>0.62905582711602781</c:v>
                </c:pt>
                <c:pt idx="2">
                  <c:v>1.2371391818883457</c:v>
                </c:pt>
                <c:pt idx="3">
                  <c:v>1.8231695394906096</c:v>
                </c:pt>
                <c:pt idx="4">
                  <c:v>2.3860663750964752</c:v>
                </c:pt>
                <c:pt idx="5">
                  <c:v>2.924749163879599</c:v>
                </c:pt>
                <c:pt idx="6">
                  <c:v>3.4381373810136351</c:v>
                </c:pt>
                <c:pt idx="7">
                  <c:v>3.9251505016722406</c:v>
                </c:pt>
                <c:pt idx="8">
                  <c:v>4.3847080010290709</c:v>
                </c:pt>
                <c:pt idx="9">
                  <c:v>4.8157293542577824</c:v>
                </c:pt>
                <c:pt idx="10">
                  <c:v>5.2171340365320296</c:v>
                </c:pt>
                <c:pt idx="11">
                  <c:v>5.5878415230254683</c:v>
                </c:pt>
                <c:pt idx="12">
                  <c:v>5.8</c:v>
                </c:pt>
                <c:pt idx="13">
                  <c:v>5.8</c:v>
                </c:pt>
              </c:numCache>
            </c:numRef>
          </c:yVal>
          <c:smooth val="1"/>
          <c:extLst>
            <c:ext xmlns:c16="http://schemas.microsoft.com/office/drawing/2014/chart" uri="{C3380CC4-5D6E-409C-BE32-E72D297353CC}">
              <c16:uniqueId val="{00000000-A39B-4BD2-A749-DDA9ABB4C197}"/>
            </c:ext>
          </c:extLst>
        </c:ser>
        <c:ser>
          <c:idx val="1"/>
          <c:order val="1"/>
          <c:tx>
            <c:strRef>
              <c:f>'Main Water Ballast'!$F$35</c:f>
              <c:strCache>
                <c:ptCount val="1"/>
                <c:pt idx="0">
                  <c:v>W_Tail_156</c:v>
                </c:pt>
              </c:strCache>
            </c:strRef>
          </c:tx>
          <c:spPr>
            <a:ln w="50800">
              <a:solidFill>
                <a:schemeClr val="accent3"/>
              </a:solidFill>
            </a:ln>
          </c:spPr>
          <c:marker>
            <c:symbol val="none"/>
          </c:marker>
          <c:xVal>
            <c:numRef>
              <c:f>'Main Water Ballast'!$B$36:$B$52</c:f>
              <c:numCache>
                <c:formatCode>General</c:formatCode>
                <c:ptCount val="17"/>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156</c:v>
                </c:pt>
              </c:numCache>
            </c:numRef>
          </c:xVal>
          <c:yVal>
            <c:numRef>
              <c:f>'Main Water Ballast'!$F$36:$F$52</c:f>
              <c:numCache>
                <c:formatCode>0.00</c:formatCode>
                <c:ptCount val="17"/>
                <c:pt idx="0">
                  <c:v>0</c:v>
                </c:pt>
                <c:pt idx="1">
                  <c:v>0.43374596812865229</c:v>
                </c:pt>
                <c:pt idx="2">
                  <c:v>0.77868503475230066</c:v>
                </c:pt>
                <c:pt idx="3">
                  <c:v>1.105858433402054</c:v>
                </c:pt>
                <c:pt idx="4">
                  <c:v>1.4390936483510275</c:v>
                </c:pt>
                <c:pt idx="5">
                  <c:v>1.7820581032661018</c:v>
                </c:pt>
                <c:pt idx="6">
                  <c:v>2.1343817446501721</c:v>
                </c:pt>
                <c:pt idx="7">
                  <c:v>2.4990723930807484</c:v>
                </c:pt>
                <c:pt idx="8">
                  <c:v>2.8834477352507677</c:v>
                </c:pt>
                <c:pt idx="9">
                  <c:v>3.2958078298174698</c:v>
                </c:pt>
                <c:pt idx="10">
                  <c:v>3.7400720000652052</c:v>
                </c:pt>
                <c:pt idx="11">
                  <c:v>4.21060398638806</c:v>
                </c:pt>
                <c:pt idx="12">
                  <c:v>4.6894492315979974</c:v>
                </c:pt>
                <c:pt idx="13">
                  <c:v>5.1482081720647077</c:v>
                </c:pt>
                <c:pt idx="14">
                  <c:v>5.5567694076927401</c:v>
                </c:pt>
                <c:pt idx="15">
                  <c:v>5.8</c:v>
                </c:pt>
                <c:pt idx="16">
                  <c:v>5.8</c:v>
                </c:pt>
              </c:numCache>
            </c:numRef>
          </c:yVal>
          <c:smooth val="1"/>
          <c:extLst>
            <c:ext xmlns:c16="http://schemas.microsoft.com/office/drawing/2014/chart" uri="{C3380CC4-5D6E-409C-BE32-E72D297353CC}">
              <c16:uniqueId val="{00000001-A39B-4BD2-A749-DDA9ABB4C197}"/>
            </c:ext>
          </c:extLst>
        </c:ser>
        <c:dLbls>
          <c:showLegendKey val="0"/>
          <c:showVal val="0"/>
          <c:showCatName val="0"/>
          <c:showSerName val="0"/>
          <c:showPercent val="0"/>
          <c:showBubbleSize val="0"/>
        </c:dLbls>
        <c:axId val="153926656"/>
        <c:axId val="153932928"/>
      </c:scatterChart>
      <c:valAx>
        <c:axId val="153926656"/>
        <c:scaling>
          <c:orientation val="minMax"/>
          <c:max val="160"/>
          <c:min val="0"/>
        </c:scaling>
        <c:delete val="0"/>
        <c:axPos val="b"/>
        <c:minorGridlines/>
        <c:title>
          <c:tx>
            <c:rich>
              <a:bodyPr/>
              <a:lstStyle/>
              <a:p>
                <a:pPr>
                  <a:defRPr sz="1600" b="0" i="0" u="none" strike="noStrike" baseline="0">
                    <a:solidFill>
                      <a:srgbClr val="000000"/>
                    </a:solidFill>
                    <a:latin typeface="Calibri"/>
                    <a:ea typeface="Calibri"/>
                    <a:cs typeface="Calibri"/>
                  </a:defRPr>
                </a:pPr>
                <a:r>
                  <a:rPr lang="en-ZA" sz="1600" b="0"/>
                  <a:t>Water Loading - Main Tanks (litres)</a:t>
                </a:r>
              </a:p>
            </c:rich>
          </c:tx>
          <c:overlay val="0"/>
        </c:title>
        <c:numFmt formatCode="General" sourceLinked="1"/>
        <c:majorTickMark val="none"/>
        <c:minorTickMark val="none"/>
        <c:tickLblPos val="nextTo"/>
        <c:txPr>
          <a:bodyPr rot="0" vert="horz"/>
          <a:lstStyle/>
          <a:p>
            <a:pPr>
              <a:defRPr sz="1400" b="0" i="0" u="none" strike="noStrike" baseline="0">
                <a:solidFill>
                  <a:srgbClr val="000000"/>
                </a:solidFill>
                <a:latin typeface="Calibri"/>
                <a:ea typeface="Calibri"/>
                <a:cs typeface="Calibri"/>
              </a:defRPr>
            </a:pPr>
            <a:endParaRPr lang="en-US"/>
          </a:p>
        </c:txPr>
        <c:crossAx val="153932928"/>
        <c:crosses val="autoZero"/>
        <c:crossBetween val="midCat"/>
        <c:majorUnit val="50"/>
      </c:valAx>
      <c:valAx>
        <c:axId val="153932928"/>
        <c:scaling>
          <c:orientation val="minMax"/>
          <c:max val="6"/>
        </c:scaling>
        <c:delete val="0"/>
        <c:axPos val="l"/>
        <c:majorGridlines/>
        <c:title>
          <c:tx>
            <c:rich>
              <a:bodyPr/>
              <a:lstStyle/>
              <a:p>
                <a:pPr>
                  <a:defRPr sz="1600" b="0" i="0" u="none" strike="noStrike" baseline="0">
                    <a:solidFill>
                      <a:srgbClr val="000000"/>
                    </a:solidFill>
                    <a:latin typeface="Calibri"/>
                    <a:ea typeface="Calibri"/>
                    <a:cs typeface="Calibri"/>
                  </a:defRPr>
                </a:pPr>
                <a:r>
                  <a:rPr lang="en-ZA" sz="1600" b="0" i="0" u="none" strike="noStrike" baseline="0">
                    <a:solidFill>
                      <a:srgbClr val="000000"/>
                    </a:solidFill>
                    <a:latin typeface="Calibri"/>
                    <a:cs typeface="Calibri"/>
                  </a:rPr>
                  <a:t>Expendable tail tank quantity to </a:t>
                </a:r>
              </a:p>
              <a:p>
                <a:pPr>
                  <a:defRPr sz="1600" b="0" i="0" u="none" strike="noStrike" baseline="0">
                    <a:solidFill>
                      <a:srgbClr val="000000"/>
                    </a:solidFill>
                    <a:latin typeface="Calibri"/>
                    <a:ea typeface="Calibri"/>
                    <a:cs typeface="Calibri"/>
                  </a:defRPr>
                </a:pPr>
                <a:r>
                  <a:rPr lang="en-ZA" sz="1600" b="0" i="0" u="none" strike="noStrike" baseline="0">
                    <a:solidFill>
                      <a:srgbClr val="000000"/>
                    </a:solidFill>
                    <a:latin typeface="Calibri"/>
                    <a:cs typeface="Calibri"/>
                  </a:rPr>
                  <a:t>maintain CG position (litres)</a:t>
                </a:r>
              </a:p>
            </c:rich>
          </c:tx>
          <c:layout>
            <c:manualLayout>
              <c:xMode val="edge"/>
              <c:yMode val="edge"/>
              <c:x val="9.3854689442621472E-2"/>
              <c:y val="0.29308522126049397"/>
            </c:manualLayout>
          </c:layout>
          <c:overlay val="0"/>
        </c:title>
        <c:numFmt formatCode="0" sourceLinked="0"/>
        <c:majorTickMark val="none"/>
        <c:minorTickMark val="none"/>
        <c:tickLblPos val="nextTo"/>
        <c:txPr>
          <a:bodyPr rot="0" vert="horz"/>
          <a:lstStyle/>
          <a:p>
            <a:pPr>
              <a:defRPr sz="1400" b="0" i="0" u="none" strike="noStrike" baseline="0">
                <a:solidFill>
                  <a:srgbClr val="000000"/>
                </a:solidFill>
                <a:latin typeface="Calibri"/>
                <a:ea typeface="Calibri"/>
                <a:cs typeface="Calibri"/>
              </a:defRPr>
            </a:pPr>
            <a:endParaRPr lang="en-US"/>
          </a:p>
        </c:txPr>
        <c:crossAx val="153926656"/>
        <c:crosses val="autoZero"/>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ZA" sz="2400" b="1"/>
              <a:t>Main Tanks Moment Arm vs Loading</a:t>
            </a:r>
          </a:p>
        </c:rich>
      </c:tx>
      <c:layout>
        <c:manualLayout>
          <c:xMode val="edge"/>
          <c:yMode val="edge"/>
          <c:x val="0.24077514184704238"/>
          <c:y val="4.1798301145898782E-2"/>
        </c:manualLayout>
      </c:layout>
      <c:overlay val="0"/>
    </c:title>
    <c:autoTitleDeleted val="0"/>
    <c:plotArea>
      <c:layout>
        <c:manualLayout>
          <c:layoutTarget val="inner"/>
          <c:xMode val="edge"/>
          <c:yMode val="edge"/>
          <c:x val="0.2006529616436131"/>
          <c:y val="0.1341386472687443"/>
          <c:w val="0.57049721361796146"/>
          <c:h val="0.6568761002909097"/>
        </c:manualLayout>
      </c:layout>
      <c:scatterChart>
        <c:scatterStyle val="smoothMarker"/>
        <c:varyColors val="0"/>
        <c:ser>
          <c:idx val="1"/>
          <c:order val="0"/>
          <c:tx>
            <c:v>2</c:v>
          </c:tx>
          <c:spPr>
            <a:ln w="57150">
              <a:solidFill>
                <a:schemeClr val="tx2">
                  <a:lumMod val="60000"/>
                  <a:lumOff val="40000"/>
                </a:schemeClr>
              </a:solidFill>
            </a:ln>
          </c:spPr>
          <c:marker>
            <c:symbol val="none"/>
          </c:marker>
          <c:xVal>
            <c:numRef>
              <c:f>'Main Water Ballast_156l'!$A$4:$A$27</c:f>
              <c:numCache>
                <c:formatCode>General</c:formatCode>
                <c:ptCount val="24"/>
                <c:pt idx="0">
                  <c:v>1.6739999999999999</c:v>
                </c:pt>
                <c:pt idx="1">
                  <c:v>5.4779999999999998</c:v>
                </c:pt>
                <c:pt idx="2">
                  <c:v>13.032</c:v>
                </c:pt>
                <c:pt idx="3">
                  <c:v>23.3</c:v>
                </c:pt>
                <c:pt idx="4">
                  <c:v>35.6</c:v>
                </c:pt>
                <c:pt idx="5">
                  <c:v>48.54</c:v>
                </c:pt>
                <c:pt idx="6">
                  <c:v>73.819999999999993</c:v>
                </c:pt>
                <c:pt idx="7">
                  <c:v>84.72</c:v>
                </c:pt>
                <c:pt idx="8">
                  <c:v>94.24</c:v>
                </c:pt>
                <c:pt idx="9">
                  <c:v>102.48</c:v>
                </c:pt>
                <c:pt idx="10">
                  <c:v>109.94</c:v>
                </c:pt>
                <c:pt idx="11">
                  <c:v>117</c:v>
                </c:pt>
                <c:pt idx="12">
                  <c:v>123.32</c:v>
                </c:pt>
                <c:pt idx="13">
                  <c:v>128.72</c:v>
                </c:pt>
                <c:pt idx="14">
                  <c:v>133.24</c:v>
                </c:pt>
                <c:pt idx="15">
                  <c:v>137</c:v>
                </c:pt>
                <c:pt idx="16">
                  <c:v>140.1</c:v>
                </c:pt>
                <c:pt idx="17">
                  <c:v>142.76</c:v>
                </c:pt>
                <c:pt idx="18">
                  <c:v>145.24</c:v>
                </c:pt>
                <c:pt idx="19">
                  <c:v>147.58000000000001</c:v>
                </c:pt>
                <c:pt idx="20">
                  <c:v>149.80000000000001</c:v>
                </c:pt>
                <c:pt idx="21">
                  <c:v>151.96</c:v>
                </c:pt>
                <c:pt idx="22">
                  <c:v>153.94</c:v>
                </c:pt>
                <c:pt idx="23">
                  <c:v>155.78</c:v>
                </c:pt>
              </c:numCache>
            </c:numRef>
          </c:xVal>
          <c:yVal>
            <c:numRef>
              <c:f>'Main Water Ballast_156l'!$D$4:$D$28</c:f>
              <c:numCache>
                <c:formatCode>General</c:formatCode>
                <c:ptCount val="25"/>
                <c:pt idx="0">
                  <c:v>202.70131988218068</c:v>
                </c:pt>
                <c:pt idx="1">
                  <c:v>216.6881691640244</c:v>
                </c:pt>
                <c:pt idx="2">
                  <c:v>235.99119077262611</c:v>
                </c:pt>
                <c:pt idx="3">
                  <c:v>250.06183682009913</c:v>
                </c:pt>
                <c:pt idx="4">
                  <c:v>257.01317342789241</c:v>
                </c:pt>
                <c:pt idx="5">
                  <c:v>259.35149260856156</c:v>
                </c:pt>
                <c:pt idx="6">
                  <c:v>258.82735450574984</c:v>
                </c:pt>
                <c:pt idx="7">
                  <c:v>256.95463548651327</c:v>
                </c:pt>
                <c:pt idx="8">
                  <c:v>254.45069723242182</c:v>
                </c:pt>
                <c:pt idx="9">
                  <c:v>251.79007980933432</c:v>
                </c:pt>
                <c:pt idx="10">
                  <c:v>249.23291052410571</c:v>
                </c:pt>
                <c:pt idx="11">
                  <c:v>246.9561769843275</c:v>
                </c:pt>
                <c:pt idx="12">
                  <c:v>245.26979344730171</c:v>
                </c:pt>
                <c:pt idx="13">
                  <c:v>244.24367351611647</c:v>
                </c:pt>
                <c:pt idx="14">
                  <c:v>243.75388088313866</c:v>
                </c:pt>
                <c:pt idx="15">
                  <c:v>243.63018503714818</c:v>
                </c:pt>
                <c:pt idx="16">
                  <c:v>243.72610569563074</c:v>
                </c:pt>
                <c:pt idx="17">
                  <c:v>243.94593812976598</c:v>
                </c:pt>
                <c:pt idx="18">
                  <c:v>244.25606634449514</c:v>
                </c:pt>
                <c:pt idx="19">
                  <c:v>244.62970733013037</c:v>
                </c:pt>
                <c:pt idx="20">
                  <c:v>245.04270036591379</c:v>
                </c:pt>
                <c:pt idx="21">
                  <c:v>245.48274179724888</c:v>
                </c:pt>
                <c:pt idx="22">
                  <c:v>245.90246999918259</c:v>
                </c:pt>
                <c:pt idx="23">
                  <c:v>246.29036045434998</c:v>
                </c:pt>
                <c:pt idx="24">
                  <c:v>246.61646438545847</c:v>
                </c:pt>
              </c:numCache>
            </c:numRef>
          </c:yVal>
          <c:smooth val="1"/>
          <c:extLst>
            <c:ext xmlns:c16="http://schemas.microsoft.com/office/drawing/2014/chart" uri="{C3380CC4-5D6E-409C-BE32-E72D297353CC}">
              <c16:uniqueId val="{00000000-B5E5-47CD-AD91-971CA194B39C}"/>
            </c:ext>
          </c:extLst>
        </c:ser>
        <c:ser>
          <c:idx val="3"/>
          <c:order val="1"/>
          <c:tx>
            <c:v>132 Tanks</c:v>
          </c:tx>
          <c:spPr>
            <a:ln w="57150"/>
          </c:spPr>
          <c:marker>
            <c:symbol val="none"/>
          </c:marker>
          <c:xVal>
            <c:numRef>
              <c:f>'Main Water Ballast_132l'!$B$7:$E$7</c:f>
              <c:numCache>
                <c:formatCode>General</c:formatCode>
                <c:ptCount val="4"/>
                <c:pt idx="0">
                  <c:v>0</c:v>
                </c:pt>
                <c:pt idx="1">
                  <c:v>40</c:v>
                </c:pt>
                <c:pt idx="2">
                  <c:v>80</c:v>
                </c:pt>
                <c:pt idx="3">
                  <c:v>132</c:v>
                </c:pt>
              </c:numCache>
            </c:numRef>
          </c:xVal>
          <c:yVal>
            <c:numRef>
              <c:f>'Main Water Ballast_132l'!$B$8:$E$8</c:f>
              <c:numCache>
                <c:formatCode>General</c:formatCode>
                <c:ptCount val="4"/>
                <c:pt idx="0">
                  <c:v>150</c:v>
                </c:pt>
                <c:pt idx="1">
                  <c:v>164.86</c:v>
                </c:pt>
                <c:pt idx="2">
                  <c:v>186.1</c:v>
                </c:pt>
                <c:pt idx="3">
                  <c:v>212.5</c:v>
                </c:pt>
              </c:numCache>
            </c:numRef>
          </c:yVal>
          <c:smooth val="1"/>
          <c:extLst>
            <c:ext xmlns:c16="http://schemas.microsoft.com/office/drawing/2014/chart" uri="{C3380CC4-5D6E-409C-BE32-E72D297353CC}">
              <c16:uniqueId val="{00000001-B5E5-47CD-AD91-971CA194B39C}"/>
            </c:ext>
          </c:extLst>
        </c:ser>
        <c:dLbls>
          <c:showLegendKey val="0"/>
          <c:showVal val="0"/>
          <c:showCatName val="0"/>
          <c:showSerName val="0"/>
          <c:showPercent val="0"/>
          <c:showBubbleSize val="0"/>
        </c:dLbls>
        <c:axId val="207270656"/>
        <c:axId val="207272576"/>
      </c:scatterChart>
      <c:valAx>
        <c:axId val="207270656"/>
        <c:scaling>
          <c:orientation val="minMax"/>
          <c:max val="160"/>
        </c:scaling>
        <c:delete val="0"/>
        <c:axPos val="b"/>
        <c:majorGridlines/>
        <c:title>
          <c:tx>
            <c:rich>
              <a:bodyPr/>
              <a:lstStyle/>
              <a:p>
                <a:pPr>
                  <a:defRPr sz="1400"/>
                </a:pPr>
                <a:r>
                  <a:rPr lang="en-US" sz="1400"/>
                  <a:t>Water </a:t>
                </a:r>
                <a:r>
                  <a:rPr lang="en-US" sz="1400" baseline="0"/>
                  <a:t>Loading - Main Tanks (litres)</a:t>
                </a:r>
                <a:endParaRPr lang="en-US" sz="1400"/>
              </a:p>
            </c:rich>
          </c:tx>
          <c:layout>
            <c:manualLayout>
              <c:xMode val="edge"/>
              <c:yMode val="edge"/>
              <c:x val="0.34039492884385447"/>
              <c:y val="0.84755040562453743"/>
            </c:manualLayout>
          </c:layout>
          <c:overlay val="0"/>
        </c:title>
        <c:numFmt formatCode="General" sourceLinked="1"/>
        <c:majorTickMark val="out"/>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207272576"/>
        <c:crosses val="autoZero"/>
        <c:crossBetween val="midCat"/>
        <c:majorUnit val="10"/>
      </c:valAx>
      <c:valAx>
        <c:axId val="207272576"/>
        <c:scaling>
          <c:orientation val="minMax"/>
          <c:max val="300"/>
          <c:min val="140"/>
        </c:scaling>
        <c:delete val="0"/>
        <c:axPos val="l"/>
        <c:majorGridlines/>
        <c:title>
          <c:tx>
            <c:rich>
              <a:bodyPr rot="-5400000" vert="horz"/>
              <a:lstStyle/>
              <a:p>
                <a:pPr>
                  <a:defRPr/>
                </a:pPr>
                <a:r>
                  <a:rPr lang="en-ZA" sz="1600"/>
                  <a:t>Main</a:t>
                </a:r>
                <a:r>
                  <a:rPr lang="en-ZA" sz="1600" baseline="0"/>
                  <a:t> Tanks </a:t>
                </a:r>
                <a:r>
                  <a:rPr lang="en-ZA" sz="1600"/>
                  <a:t>Moment Arm (mm)</a:t>
                </a:r>
              </a:p>
            </c:rich>
          </c:tx>
          <c:layout>
            <c:manualLayout>
              <c:xMode val="edge"/>
              <c:yMode val="edge"/>
              <c:x val="0.11661228008934925"/>
              <c:y val="0.23713756018379403"/>
            </c:manualLayout>
          </c:layout>
          <c:overlay val="0"/>
        </c:title>
        <c:numFmt formatCode="General" sourceLinked="1"/>
        <c:majorTickMark val="out"/>
        <c:minorTickMark val="none"/>
        <c:tickLblPos val="nextTo"/>
        <c:txPr>
          <a:bodyPr rot="0" vert="horz"/>
          <a:lstStyle/>
          <a:p>
            <a:pPr>
              <a:defRPr sz="1200" b="0" i="0" u="none" strike="noStrike" baseline="0">
                <a:solidFill>
                  <a:srgbClr val="000000"/>
                </a:solidFill>
                <a:latin typeface="Calibri"/>
                <a:ea typeface="Calibri"/>
                <a:cs typeface="Calibri"/>
              </a:defRPr>
            </a:pPr>
            <a:endParaRPr lang="en-US"/>
          </a:p>
        </c:txPr>
        <c:crossAx val="207270656"/>
        <c:crosses val="autoZero"/>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008814413114714E-2"/>
          <c:y val="4.0092451130175892E-2"/>
          <c:w val="0.73307071257560796"/>
          <c:h val="0.8972162808007208"/>
        </c:manualLayout>
      </c:layout>
      <c:scatterChart>
        <c:scatterStyle val="smoothMarker"/>
        <c:varyColors val="0"/>
        <c:ser>
          <c:idx val="0"/>
          <c:order val="0"/>
          <c:tx>
            <c:v>Mass  vs CG position</c:v>
          </c:tx>
          <c:xVal>
            <c:numRef>
              <c:f>'Main Water Ballast_156l'!$A$3:$A$33</c:f>
              <c:numCache>
                <c:formatCode>General</c:formatCode>
                <c:ptCount val="31"/>
                <c:pt idx="0">
                  <c:v>1.472</c:v>
                </c:pt>
                <c:pt idx="1">
                  <c:v>1.6739999999999999</c:v>
                </c:pt>
                <c:pt idx="2">
                  <c:v>5.4779999999999998</c:v>
                </c:pt>
                <c:pt idx="3">
                  <c:v>13.032</c:v>
                </c:pt>
                <c:pt idx="4">
                  <c:v>23.3</c:v>
                </c:pt>
                <c:pt idx="5">
                  <c:v>35.6</c:v>
                </c:pt>
                <c:pt idx="6">
                  <c:v>48.54</c:v>
                </c:pt>
                <c:pt idx="7">
                  <c:v>73.819999999999993</c:v>
                </c:pt>
                <c:pt idx="8">
                  <c:v>84.72</c:v>
                </c:pt>
                <c:pt idx="9">
                  <c:v>94.24</c:v>
                </c:pt>
                <c:pt idx="10">
                  <c:v>102.48</c:v>
                </c:pt>
                <c:pt idx="11">
                  <c:v>109.94</c:v>
                </c:pt>
                <c:pt idx="12">
                  <c:v>117</c:v>
                </c:pt>
                <c:pt idx="13">
                  <c:v>123.32</c:v>
                </c:pt>
                <c:pt idx="14">
                  <c:v>128.72</c:v>
                </c:pt>
                <c:pt idx="15">
                  <c:v>133.24</c:v>
                </c:pt>
                <c:pt idx="16">
                  <c:v>137</c:v>
                </c:pt>
                <c:pt idx="17">
                  <c:v>140.1</c:v>
                </c:pt>
                <c:pt idx="18">
                  <c:v>142.76</c:v>
                </c:pt>
                <c:pt idx="19">
                  <c:v>145.24</c:v>
                </c:pt>
                <c:pt idx="20">
                  <c:v>147.58000000000001</c:v>
                </c:pt>
                <c:pt idx="21">
                  <c:v>149.80000000000001</c:v>
                </c:pt>
                <c:pt idx="22">
                  <c:v>151.96</c:v>
                </c:pt>
                <c:pt idx="23">
                  <c:v>153.94</c:v>
                </c:pt>
                <c:pt idx="24">
                  <c:v>155.78</c:v>
                </c:pt>
                <c:pt idx="25">
                  <c:v>157.4</c:v>
                </c:pt>
                <c:pt idx="26">
                  <c:v>158.80000000000001</c:v>
                </c:pt>
                <c:pt idx="27">
                  <c:v>159.66</c:v>
                </c:pt>
                <c:pt idx="28">
                  <c:v>160.1</c:v>
                </c:pt>
                <c:pt idx="29">
                  <c:v>160.24</c:v>
                </c:pt>
                <c:pt idx="30">
                  <c:v>160.24</c:v>
                </c:pt>
              </c:numCache>
            </c:numRef>
          </c:xVal>
          <c:yVal>
            <c:numRef>
              <c:f>'Main Water Ballast_156l'!$B$3:$B$33</c:f>
              <c:numCache>
                <c:formatCode>General</c:formatCode>
                <c:ptCount val="31"/>
                <c:pt idx="0">
                  <c:v>170.20000000000027</c:v>
                </c:pt>
                <c:pt idx="1">
                  <c:v>201.20000000000027</c:v>
                </c:pt>
                <c:pt idx="2">
                  <c:v>218.91000000000031</c:v>
                </c:pt>
                <c:pt idx="3">
                  <c:v>235.96000000000004</c:v>
                </c:pt>
                <c:pt idx="4">
                  <c:v>248.91000000000031</c:v>
                </c:pt>
                <c:pt idx="5">
                  <c:v>257.15000000000009</c:v>
                </c:pt>
                <c:pt idx="6">
                  <c:v>259.68000000000029</c:v>
                </c:pt>
                <c:pt idx="7">
                  <c:v>259.0300000000002</c:v>
                </c:pt>
                <c:pt idx="8">
                  <c:v>257.15000000000009</c:v>
                </c:pt>
                <c:pt idx="9">
                  <c:v>254.47000000000025</c:v>
                </c:pt>
                <c:pt idx="10">
                  <c:v>251.42000000000007</c:v>
                </c:pt>
                <c:pt idx="11">
                  <c:v>248.65000000000009</c:v>
                </c:pt>
                <c:pt idx="12">
                  <c:v>246.57999999999993</c:v>
                </c:pt>
                <c:pt idx="13">
                  <c:v>245.20000000000027</c:v>
                </c:pt>
                <c:pt idx="14">
                  <c:v>245.38000000000011</c:v>
                </c:pt>
                <c:pt idx="15">
                  <c:v>243.99000000000024</c:v>
                </c:pt>
                <c:pt idx="16">
                  <c:v>243.86000000000013</c:v>
                </c:pt>
                <c:pt idx="17">
                  <c:v>243.88999999999987</c:v>
                </c:pt>
                <c:pt idx="18">
                  <c:v>243.98000000000002</c:v>
                </c:pt>
                <c:pt idx="19">
                  <c:v>244.16000000000031</c:v>
                </c:pt>
                <c:pt idx="20">
                  <c:v>244.43000000000029</c:v>
                </c:pt>
                <c:pt idx="21">
                  <c:v>244.76999999999998</c:v>
                </c:pt>
                <c:pt idx="22">
                  <c:v>245.17000000000007</c:v>
                </c:pt>
                <c:pt idx="23">
                  <c:v>245.61000000000013</c:v>
                </c:pt>
                <c:pt idx="24">
                  <c:v>246.05000000000018</c:v>
                </c:pt>
                <c:pt idx="25">
                  <c:v>246.48000000000002</c:v>
                </c:pt>
                <c:pt idx="26">
                  <c:v>246.86000000000013</c:v>
                </c:pt>
                <c:pt idx="27">
                  <c:v>247.11000000000013</c:v>
                </c:pt>
                <c:pt idx="28">
                  <c:v>247.2800000000002</c:v>
                </c:pt>
                <c:pt idx="29">
                  <c:v>247.34000000000015</c:v>
                </c:pt>
                <c:pt idx="30">
                  <c:v>247.34999999999991</c:v>
                </c:pt>
              </c:numCache>
            </c:numRef>
          </c:yVal>
          <c:smooth val="1"/>
          <c:extLst>
            <c:ext xmlns:c16="http://schemas.microsoft.com/office/drawing/2014/chart" uri="{C3380CC4-5D6E-409C-BE32-E72D297353CC}">
              <c16:uniqueId val="{00000000-083A-4FB0-853B-FDB30CBF5311}"/>
            </c:ext>
          </c:extLst>
        </c:ser>
        <c:ser>
          <c:idx val="1"/>
          <c:order val="1"/>
          <c:tx>
            <c:v>2</c:v>
          </c:tx>
          <c:trendline>
            <c:trendlineType val="poly"/>
            <c:order val="6"/>
            <c:dispRSqr val="0"/>
            <c:dispEq val="1"/>
            <c:trendlineLbl>
              <c:layout>
                <c:manualLayout>
                  <c:x val="7.7390885894846745E-2"/>
                  <c:y val="0.36692823844780598"/>
                </c:manualLayout>
              </c:layout>
              <c:numFmt formatCode="#,##0.000000000000000000000000000000" sourceLinked="0"/>
              <c:txPr>
                <a:bodyPr/>
                <a:lstStyle/>
                <a:p>
                  <a:pPr>
                    <a:defRPr sz="1000" b="0" i="0" u="none" strike="noStrike" baseline="0">
                      <a:solidFill>
                        <a:srgbClr val="000000"/>
                      </a:solidFill>
                      <a:latin typeface="Calibri"/>
                      <a:ea typeface="Calibri"/>
                      <a:cs typeface="Calibri"/>
                    </a:defRPr>
                  </a:pPr>
                  <a:endParaRPr lang="en-US"/>
                </a:p>
              </c:txPr>
            </c:trendlineLbl>
          </c:trendline>
          <c:xVal>
            <c:numRef>
              <c:f>'Main Water Ballast_156l'!$A$4:$A$33</c:f>
              <c:numCache>
                <c:formatCode>General</c:formatCode>
                <c:ptCount val="30"/>
                <c:pt idx="0">
                  <c:v>1.6739999999999999</c:v>
                </c:pt>
                <c:pt idx="1">
                  <c:v>5.4779999999999998</c:v>
                </c:pt>
                <c:pt idx="2">
                  <c:v>13.032</c:v>
                </c:pt>
                <c:pt idx="3">
                  <c:v>23.3</c:v>
                </c:pt>
                <c:pt idx="4">
                  <c:v>35.6</c:v>
                </c:pt>
                <c:pt idx="5">
                  <c:v>48.54</c:v>
                </c:pt>
                <c:pt idx="6">
                  <c:v>73.819999999999993</c:v>
                </c:pt>
                <c:pt idx="7">
                  <c:v>84.72</c:v>
                </c:pt>
                <c:pt idx="8">
                  <c:v>94.24</c:v>
                </c:pt>
                <c:pt idx="9">
                  <c:v>102.48</c:v>
                </c:pt>
                <c:pt idx="10">
                  <c:v>109.94</c:v>
                </c:pt>
                <c:pt idx="11">
                  <c:v>117</c:v>
                </c:pt>
                <c:pt idx="12">
                  <c:v>123.32</c:v>
                </c:pt>
                <c:pt idx="13">
                  <c:v>128.72</c:v>
                </c:pt>
                <c:pt idx="14">
                  <c:v>133.24</c:v>
                </c:pt>
                <c:pt idx="15">
                  <c:v>137</c:v>
                </c:pt>
                <c:pt idx="16">
                  <c:v>140.1</c:v>
                </c:pt>
                <c:pt idx="17">
                  <c:v>142.76</c:v>
                </c:pt>
                <c:pt idx="18">
                  <c:v>145.24</c:v>
                </c:pt>
                <c:pt idx="19">
                  <c:v>147.58000000000001</c:v>
                </c:pt>
                <c:pt idx="20">
                  <c:v>149.80000000000001</c:v>
                </c:pt>
                <c:pt idx="21">
                  <c:v>151.96</c:v>
                </c:pt>
                <c:pt idx="22">
                  <c:v>153.94</c:v>
                </c:pt>
                <c:pt idx="23">
                  <c:v>155.78</c:v>
                </c:pt>
                <c:pt idx="24">
                  <c:v>157.4</c:v>
                </c:pt>
                <c:pt idx="25">
                  <c:v>158.80000000000001</c:v>
                </c:pt>
                <c:pt idx="26">
                  <c:v>159.66</c:v>
                </c:pt>
                <c:pt idx="27">
                  <c:v>160.1</c:v>
                </c:pt>
                <c:pt idx="28">
                  <c:v>160.24</c:v>
                </c:pt>
                <c:pt idx="29">
                  <c:v>160.24</c:v>
                </c:pt>
              </c:numCache>
            </c:numRef>
          </c:xVal>
          <c:yVal>
            <c:numRef>
              <c:f>'Main Water Ballast_156l'!$B$4:$B$33</c:f>
              <c:numCache>
                <c:formatCode>General</c:formatCode>
                <c:ptCount val="30"/>
                <c:pt idx="0">
                  <c:v>201.20000000000027</c:v>
                </c:pt>
                <c:pt idx="1">
                  <c:v>218.91000000000031</c:v>
                </c:pt>
                <c:pt idx="2">
                  <c:v>235.96000000000004</c:v>
                </c:pt>
                <c:pt idx="3">
                  <c:v>248.91000000000031</c:v>
                </c:pt>
                <c:pt idx="4">
                  <c:v>257.15000000000009</c:v>
                </c:pt>
                <c:pt idx="5">
                  <c:v>259.68000000000029</c:v>
                </c:pt>
                <c:pt idx="6">
                  <c:v>259.0300000000002</c:v>
                </c:pt>
                <c:pt idx="7">
                  <c:v>257.15000000000009</c:v>
                </c:pt>
                <c:pt idx="8">
                  <c:v>254.47000000000025</c:v>
                </c:pt>
                <c:pt idx="9">
                  <c:v>251.42000000000007</c:v>
                </c:pt>
                <c:pt idx="10">
                  <c:v>248.65000000000009</c:v>
                </c:pt>
                <c:pt idx="11">
                  <c:v>246.57999999999993</c:v>
                </c:pt>
                <c:pt idx="12">
                  <c:v>245.20000000000027</c:v>
                </c:pt>
                <c:pt idx="13">
                  <c:v>245.38000000000011</c:v>
                </c:pt>
                <c:pt idx="14">
                  <c:v>243.99000000000024</c:v>
                </c:pt>
                <c:pt idx="15">
                  <c:v>243.86000000000013</c:v>
                </c:pt>
                <c:pt idx="16">
                  <c:v>243.88999999999987</c:v>
                </c:pt>
                <c:pt idx="17">
                  <c:v>243.98000000000002</c:v>
                </c:pt>
                <c:pt idx="18">
                  <c:v>244.16000000000031</c:v>
                </c:pt>
                <c:pt idx="19">
                  <c:v>244.43000000000029</c:v>
                </c:pt>
                <c:pt idx="20">
                  <c:v>244.76999999999998</c:v>
                </c:pt>
                <c:pt idx="21">
                  <c:v>245.17000000000007</c:v>
                </c:pt>
                <c:pt idx="22">
                  <c:v>245.61000000000013</c:v>
                </c:pt>
                <c:pt idx="23">
                  <c:v>246.05000000000018</c:v>
                </c:pt>
                <c:pt idx="24">
                  <c:v>246.48000000000002</c:v>
                </c:pt>
                <c:pt idx="25">
                  <c:v>246.86000000000013</c:v>
                </c:pt>
                <c:pt idx="26">
                  <c:v>247.11000000000013</c:v>
                </c:pt>
                <c:pt idx="27">
                  <c:v>247.2800000000002</c:v>
                </c:pt>
                <c:pt idx="28">
                  <c:v>247.34000000000015</c:v>
                </c:pt>
                <c:pt idx="29">
                  <c:v>247.34999999999991</c:v>
                </c:pt>
              </c:numCache>
            </c:numRef>
          </c:yVal>
          <c:smooth val="1"/>
          <c:extLst>
            <c:ext xmlns:c16="http://schemas.microsoft.com/office/drawing/2014/chart" uri="{C3380CC4-5D6E-409C-BE32-E72D297353CC}">
              <c16:uniqueId val="{00000002-083A-4FB0-853B-FDB30CBF5311}"/>
            </c:ext>
          </c:extLst>
        </c:ser>
        <c:ser>
          <c:idx val="2"/>
          <c:order val="2"/>
          <c:tx>
            <c:v>3</c:v>
          </c:tx>
          <c:trendline>
            <c:trendlineType val="linear"/>
            <c:intercept val="0"/>
            <c:dispRSqr val="0"/>
            <c:dispEq val="0"/>
          </c:trendline>
          <c:trendline>
            <c:trendlineType val="linear"/>
            <c:dispRSqr val="0"/>
            <c:dispEq val="1"/>
            <c:trendlineLbl>
              <c:layout>
                <c:manualLayout>
                  <c:x val="0.10954010157741247"/>
                  <c:y val="6.4147205479912026E-2"/>
                </c:manualLayout>
              </c:layout>
              <c:numFmt formatCode="#,##0.000000000000000" sourceLinked="0"/>
              <c:txPr>
                <a:bodyPr/>
                <a:lstStyle/>
                <a:p>
                  <a:pPr>
                    <a:defRPr sz="1000" b="0" i="0" u="none" strike="noStrike" baseline="0">
                      <a:solidFill>
                        <a:srgbClr val="000000"/>
                      </a:solidFill>
                      <a:latin typeface="Calibri"/>
                      <a:ea typeface="Calibri"/>
                      <a:cs typeface="Calibri"/>
                    </a:defRPr>
                  </a:pPr>
                  <a:endParaRPr lang="en-US"/>
                </a:p>
              </c:txPr>
            </c:trendlineLbl>
          </c:trendline>
          <c:xVal>
            <c:numRef>
              <c:f>'Main Water Ballast_156l'!$A$3:$A$4</c:f>
              <c:numCache>
                <c:formatCode>General</c:formatCode>
                <c:ptCount val="2"/>
                <c:pt idx="0">
                  <c:v>1.472</c:v>
                </c:pt>
                <c:pt idx="1">
                  <c:v>1.6739999999999999</c:v>
                </c:pt>
              </c:numCache>
            </c:numRef>
          </c:xVal>
          <c:yVal>
            <c:numRef>
              <c:f>'Main Water Ballast_156l'!$B$3:$B$4</c:f>
              <c:numCache>
                <c:formatCode>General</c:formatCode>
                <c:ptCount val="2"/>
                <c:pt idx="0">
                  <c:v>170.20000000000027</c:v>
                </c:pt>
                <c:pt idx="1">
                  <c:v>201.20000000000027</c:v>
                </c:pt>
              </c:numCache>
            </c:numRef>
          </c:yVal>
          <c:smooth val="1"/>
          <c:extLst>
            <c:ext xmlns:c16="http://schemas.microsoft.com/office/drawing/2014/chart" uri="{C3380CC4-5D6E-409C-BE32-E72D297353CC}">
              <c16:uniqueId val="{00000005-083A-4FB0-853B-FDB30CBF5311}"/>
            </c:ext>
          </c:extLst>
        </c:ser>
        <c:dLbls>
          <c:showLegendKey val="0"/>
          <c:showVal val="0"/>
          <c:showCatName val="0"/>
          <c:showSerName val="0"/>
          <c:showPercent val="0"/>
          <c:showBubbleSize val="0"/>
        </c:dLbls>
        <c:axId val="207443072"/>
        <c:axId val="207444608"/>
      </c:scatterChart>
      <c:valAx>
        <c:axId val="20744307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444608"/>
        <c:crosses val="autoZero"/>
        <c:crossBetween val="midCat"/>
      </c:valAx>
      <c:valAx>
        <c:axId val="2074446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443072"/>
        <c:crosses val="autoZero"/>
        <c:crossBetween val="midCat"/>
      </c:valAx>
    </c:plotArea>
    <c:legend>
      <c:legendPos val="r"/>
      <c:overlay val="0"/>
      <c:txPr>
        <a:bodyPr/>
        <a:lstStyle/>
        <a:p>
          <a:pPr>
            <a:defRPr sz="5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v>Expendable</c:v>
          </c:tx>
          <c:trendline>
            <c:trendlineType val="poly"/>
            <c:order val="6"/>
            <c:dispRSqr val="0"/>
            <c:dispEq val="1"/>
            <c:trendlineLbl>
              <c:layout>
                <c:manualLayout>
                  <c:x val="0.50467269225357925"/>
                  <c:y val="0.2014651194916425"/>
                </c:manualLayout>
              </c:layout>
              <c:numFmt formatCode="#,##0.00000000000000000000" sourceLinked="0"/>
              <c:txPr>
                <a:bodyPr/>
                <a:lstStyle/>
                <a:p>
                  <a:pPr>
                    <a:defRPr sz="1000" b="0" i="0" u="none" strike="noStrike" baseline="0">
                      <a:solidFill>
                        <a:srgbClr val="000000"/>
                      </a:solidFill>
                      <a:latin typeface="Calibri"/>
                      <a:ea typeface="Calibri"/>
                      <a:cs typeface="Calibri"/>
                    </a:defRPr>
                  </a:pPr>
                  <a:endParaRPr lang="en-US"/>
                </a:p>
              </c:txPr>
            </c:trendlineLbl>
          </c:trendline>
          <c:xVal>
            <c:numRef>
              <c:f>'Tail Water Ballast'!$A$3:$A$12</c:f>
              <c:numCache>
                <c:formatCode>General</c:formatCode>
                <c:ptCount val="10"/>
                <c:pt idx="0">
                  <c:v>0</c:v>
                </c:pt>
                <c:pt idx="1">
                  <c:v>1</c:v>
                </c:pt>
                <c:pt idx="2">
                  <c:v>2</c:v>
                </c:pt>
                <c:pt idx="3">
                  <c:v>3</c:v>
                </c:pt>
                <c:pt idx="4">
                  <c:v>4</c:v>
                </c:pt>
                <c:pt idx="5">
                  <c:v>5</c:v>
                </c:pt>
                <c:pt idx="6">
                  <c:v>5.8</c:v>
                </c:pt>
              </c:numCache>
            </c:numRef>
          </c:xVal>
          <c:yVal>
            <c:numRef>
              <c:f>'Tail Water Ballast'!$B$3:$B$12</c:f>
              <c:numCache>
                <c:formatCode>General</c:formatCode>
                <c:ptCount val="10"/>
                <c:pt idx="0">
                  <c:v>4181.1080000000002</c:v>
                </c:pt>
                <c:pt idx="1">
                  <c:v>4206.22</c:v>
                </c:pt>
                <c:pt idx="2">
                  <c:v>4225.92</c:v>
                </c:pt>
                <c:pt idx="3">
                  <c:v>4243.43</c:v>
                </c:pt>
                <c:pt idx="4">
                  <c:v>4260.72</c:v>
                </c:pt>
                <c:pt idx="5">
                  <c:v>4277</c:v>
                </c:pt>
                <c:pt idx="6">
                  <c:v>4286.08</c:v>
                </c:pt>
              </c:numCache>
            </c:numRef>
          </c:yVal>
          <c:smooth val="1"/>
          <c:extLst>
            <c:ext xmlns:c16="http://schemas.microsoft.com/office/drawing/2014/chart" uri="{C3380CC4-5D6E-409C-BE32-E72D297353CC}">
              <c16:uniqueId val="{00000001-5E12-43B6-987B-5C770F177ED4}"/>
            </c:ext>
          </c:extLst>
        </c:ser>
        <c:ser>
          <c:idx val="1"/>
          <c:order val="1"/>
          <c:tx>
            <c:v>non-expendable</c:v>
          </c:tx>
          <c:trendline>
            <c:trendlineType val="poly"/>
            <c:order val="6"/>
            <c:dispRSqr val="0"/>
            <c:dispEq val="1"/>
            <c:trendlineLbl>
              <c:layout>
                <c:manualLayout>
                  <c:x val="0.41882641749263783"/>
                  <c:y val="-6.4283740848183446E-2"/>
                </c:manualLayout>
              </c:layout>
              <c:numFmt formatCode="#,##0.00000000000000000000" sourceLinked="0"/>
              <c:txPr>
                <a:bodyPr/>
                <a:lstStyle/>
                <a:p>
                  <a:pPr>
                    <a:defRPr sz="1000" b="0" i="0" u="none" strike="noStrike" baseline="0">
                      <a:solidFill>
                        <a:srgbClr val="000000"/>
                      </a:solidFill>
                      <a:latin typeface="Calibri"/>
                      <a:ea typeface="Calibri"/>
                      <a:cs typeface="Calibri"/>
                    </a:defRPr>
                  </a:pPr>
                  <a:endParaRPr lang="en-US"/>
                </a:p>
              </c:txPr>
            </c:trendlineLbl>
          </c:trendline>
          <c:xVal>
            <c:numRef>
              <c:f>'Tail Water Ballast'!$A$16:$A$27</c:f>
              <c:numCache>
                <c:formatCode>General</c:formatCode>
                <c:ptCount val="12"/>
                <c:pt idx="0">
                  <c:v>0</c:v>
                </c:pt>
                <c:pt idx="1">
                  <c:v>1</c:v>
                </c:pt>
                <c:pt idx="2">
                  <c:v>2</c:v>
                </c:pt>
                <c:pt idx="3">
                  <c:v>3</c:v>
                </c:pt>
                <c:pt idx="4">
                  <c:v>4</c:v>
                </c:pt>
                <c:pt idx="5">
                  <c:v>5</c:v>
                </c:pt>
                <c:pt idx="6">
                  <c:v>6</c:v>
                </c:pt>
                <c:pt idx="7">
                  <c:v>7</c:v>
                </c:pt>
                <c:pt idx="8">
                  <c:v>8</c:v>
                </c:pt>
                <c:pt idx="9">
                  <c:v>8.9</c:v>
                </c:pt>
              </c:numCache>
            </c:numRef>
          </c:xVal>
          <c:yVal>
            <c:numRef>
              <c:f>'Tail Water Ballast'!$B$16:$B$27</c:f>
              <c:numCache>
                <c:formatCode>General</c:formatCode>
                <c:ptCount val="12"/>
                <c:pt idx="0">
                  <c:v>4468.9059999999999</c:v>
                </c:pt>
                <c:pt idx="1">
                  <c:v>4457.8999999999996</c:v>
                </c:pt>
                <c:pt idx="2">
                  <c:v>4457.6099999999997</c:v>
                </c:pt>
                <c:pt idx="3">
                  <c:v>4462.33</c:v>
                </c:pt>
                <c:pt idx="4">
                  <c:v>4468.5600000000004</c:v>
                </c:pt>
                <c:pt idx="5">
                  <c:v>4475.8900000000003</c:v>
                </c:pt>
                <c:pt idx="6">
                  <c:v>4483.93</c:v>
                </c:pt>
                <c:pt idx="7">
                  <c:v>4493.1000000000004</c:v>
                </c:pt>
                <c:pt idx="8">
                  <c:v>4503.29</c:v>
                </c:pt>
                <c:pt idx="9">
                  <c:v>4511.54</c:v>
                </c:pt>
              </c:numCache>
            </c:numRef>
          </c:yVal>
          <c:smooth val="1"/>
          <c:extLst>
            <c:ext xmlns:c16="http://schemas.microsoft.com/office/drawing/2014/chart" uri="{C3380CC4-5D6E-409C-BE32-E72D297353CC}">
              <c16:uniqueId val="{00000003-5E12-43B6-987B-5C770F177ED4}"/>
            </c:ext>
          </c:extLst>
        </c:ser>
        <c:dLbls>
          <c:showLegendKey val="0"/>
          <c:showVal val="0"/>
          <c:showCatName val="0"/>
          <c:showSerName val="0"/>
          <c:showPercent val="0"/>
          <c:showBubbleSize val="0"/>
        </c:dLbls>
        <c:axId val="207296768"/>
        <c:axId val="207310848"/>
      </c:scatterChart>
      <c:valAx>
        <c:axId val="2072967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310848"/>
        <c:crosses val="autoZero"/>
        <c:crossBetween val="midCat"/>
      </c:valAx>
      <c:valAx>
        <c:axId val="20731084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296768"/>
        <c:crosses val="autoZero"/>
        <c:crossBetween val="midCat"/>
      </c:valAx>
    </c:plotArea>
    <c:legend>
      <c:legendPos val="r"/>
      <c:layout>
        <c:manualLayout>
          <c:xMode val="edge"/>
          <c:yMode val="edge"/>
          <c:x val="0.77079560064234109"/>
          <c:y val="0.40789473684210525"/>
          <c:w val="0.21256951014210101"/>
          <c:h val="0.18421052631578944"/>
        </c:manualLayout>
      </c:layout>
      <c:overlay val="0"/>
      <c:txPr>
        <a:bodyPr/>
        <a:lstStyle/>
        <a:p>
          <a:pPr>
            <a:defRPr sz="46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13.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codeName="Chart17"/>
  <sheetViews>
    <sheetView zoomScale="129"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codeName="Chart1"/>
  <sheetViews>
    <sheetView zoomScale="12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18.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9.png"/><Relationship Id="rId5" Type="http://schemas.openxmlformats.org/officeDocument/2006/relationships/image" Target="../media/image11.png"/><Relationship Id="rId4" Type="http://schemas.openxmlformats.org/officeDocument/2006/relationships/image" Target="../media/image10.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10</xdr:row>
      <xdr:rowOff>66675</xdr:rowOff>
    </xdr:from>
    <xdr:to>
      <xdr:col>13</xdr:col>
      <xdr:colOff>485775</xdr:colOff>
      <xdr:row>10</xdr:row>
      <xdr:rowOff>3086100</xdr:rowOff>
    </xdr:to>
    <xdr:pic>
      <xdr:nvPicPr>
        <xdr:cNvPr id="1953240" name="Picture 5">
          <a:extLst>
            <a:ext uri="{FF2B5EF4-FFF2-40B4-BE49-F238E27FC236}">
              <a16:creationId xmlns:a16="http://schemas.microsoft.com/office/drawing/2014/main" id="{00000000-0008-0000-0000-0000D8CD1D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 y="1981200"/>
          <a:ext cx="5981700" cy="3019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xdr:colOff>
      <xdr:row>0</xdr:row>
      <xdr:rowOff>28576</xdr:rowOff>
    </xdr:from>
    <xdr:to>
      <xdr:col>3</xdr:col>
      <xdr:colOff>581025</xdr:colOff>
      <xdr:row>2</xdr:row>
      <xdr:rowOff>207840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2475" y="28576"/>
          <a:ext cx="1076325" cy="50311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133350</xdr:colOff>
      <xdr:row>15</xdr:row>
      <xdr:rowOff>9525</xdr:rowOff>
    </xdr:from>
    <xdr:to>
      <xdr:col>6</xdr:col>
      <xdr:colOff>19050</xdr:colOff>
      <xdr:row>32</xdr:row>
      <xdr:rowOff>85725</xdr:rowOff>
    </xdr:to>
    <xdr:graphicFrame macro="">
      <xdr:nvGraphicFramePr>
        <xdr:cNvPr id="638923" name="Chart 2">
          <a:extLst>
            <a:ext uri="{FF2B5EF4-FFF2-40B4-BE49-F238E27FC236}">
              <a16:creationId xmlns:a16="http://schemas.microsoft.com/office/drawing/2014/main" id="{00000000-0008-0000-0A00-0000CBBF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647700</xdr:colOff>
      <xdr:row>19</xdr:row>
      <xdr:rowOff>114300</xdr:rowOff>
    </xdr:from>
    <xdr:to>
      <xdr:col>15</xdr:col>
      <xdr:colOff>466725</xdr:colOff>
      <xdr:row>40</xdr:row>
      <xdr:rowOff>0</xdr:rowOff>
    </xdr:to>
    <xdr:graphicFrame macro="">
      <xdr:nvGraphicFramePr>
        <xdr:cNvPr id="638924" name="Chart 4">
          <a:extLst>
            <a:ext uri="{FF2B5EF4-FFF2-40B4-BE49-F238E27FC236}">
              <a16:creationId xmlns:a16="http://schemas.microsoft.com/office/drawing/2014/main" id="{00000000-0008-0000-0A00-0000CCBF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absoluteAnchor>
    <xdr:pos x="0" y="0"/>
    <xdr:ext cx="9296105" cy="6069419"/>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0.19512</cdr:x>
      <cdr:y>0.23155</cdr:y>
    </cdr:from>
    <cdr:to>
      <cdr:x>0.45719</cdr:x>
      <cdr:y>0.32144</cdr:y>
    </cdr:to>
    <cdr:sp macro="" textlink="">
      <cdr:nvSpPr>
        <cdr:cNvPr id="20" name="Rectangle 19"/>
        <cdr:cNvSpPr/>
      </cdr:nvSpPr>
      <cdr:spPr>
        <a:xfrm xmlns:a="http://schemas.openxmlformats.org/drawingml/2006/main">
          <a:off x="938224" y="762151"/>
          <a:ext cx="1260172" cy="295883"/>
        </a:xfrm>
        <a:prstGeom xmlns:a="http://schemas.openxmlformats.org/drawingml/2006/main" prst="rect">
          <a:avLst/>
        </a:prstGeom>
        <a:solidFill xmlns:a="http://schemas.openxmlformats.org/drawingml/2006/main">
          <a:schemeClr val="bg1"/>
        </a:solidFill>
        <a:ln xmlns:a="http://schemas.openxmlformats.org/drawingml/2006/main" w="952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0.2084</cdr:x>
      <cdr:y>0.24473</cdr:y>
    </cdr:from>
    <cdr:to>
      <cdr:x>0.46867</cdr:x>
      <cdr:y>0.30734</cdr:y>
    </cdr:to>
    <cdr:sp macro="" textlink="">
      <cdr:nvSpPr>
        <cdr:cNvPr id="14" name="TextBox 13"/>
        <cdr:cNvSpPr txBox="1"/>
      </cdr:nvSpPr>
      <cdr:spPr>
        <a:xfrm xmlns:a="http://schemas.openxmlformats.org/drawingml/2006/main">
          <a:off x="1937336" y="1485370"/>
          <a:ext cx="2419497" cy="38000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0" tIns="0" rIns="0" bIns="0" rtlCol="0"/>
        <a:lstStyle xmlns:a="http://schemas.openxmlformats.org/drawingml/2006/main"/>
        <a:p xmlns:a="http://schemas.openxmlformats.org/drawingml/2006/main">
          <a:r>
            <a:rPr lang="en-ZA" sz="1200" b="0">
              <a:solidFill>
                <a:schemeClr val="tx2">
                  <a:lumMod val="75000"/>
                </a:schemeClr>
              </a:solidFill>
            </a:rPr>
            <a:t>       </a:t>
          </a:r>
          <a:r>
            <a:rPr lang="en-ZA" sz="1200" b="0">
              <a:solidFill>
                <a:schemeClr val="tx1"/>
              </a:solidFill>
            </a:rPr>
            <a:t>132 l Main wing tanks</a:t>
          </a:r>
        </a:p>
        <a:p xmlns:a="http://schemas.openxmlformats.org/drawingml/2006/main">
          <a:r>
            <a:rPr lang="en-ZA" sz="1200" b="0">
              <a:solidFill>
                <a:schemeClr val="tx1"/>
              </a:solidFill>
              <a:effectLst/>
              <a:latin typeface="+mn-lt"/>
              <a:ea typeface="+mn-ea"/>
              <a:cs typeface="+mn-cs"/>
            </a:rPr>
            <a:t>       156 l Main wing tanks</a:t>
          </a:r>
          <a:r>
            <a:rPr lang="en-ZA" sz="1200" b="0" baseline="0">
              <a:solidFill>
                <a:schemeClr val="tx1"/>
              </a:solidFill>
              <a:effectLst/>
              <a:latin typeface="+mn-lt"/>
              <a:ea typeface="+mn-ea"/>
              <a:cs typeface="+mn-cs"/>
            </a:rPr>
            <a:t> (optional)</a:t>
          </a:r>
          <a:endParaRPr lang="en-ZA" sz="1200" b="0">
            <a:solidFill>
              <a:schemeClr val="tx1"/>
            </a:solidFill>
            <a:effectLst/>
          </a:endParaRPr>
        </a:p>
        <a:p xmlns:a="http://schemas.openxmlformats.org/drawingml/2006/main">
          <a:endParaRPr lang="en-ZA" sz="700" b="0">
            <a:solidFill>
              <a:schemeClr val="tx2">
                <a:lumMod val="75000"/>
              </a:schemeClr>
            </a:solidFill>
          </a:endParaRPr>
        </a:p>
        <a:p xmlns:a="http://schemas.openxmlformats.org/drawingml/2006/main">
          <a:endParaRPr lang="en-ZA" sz="700" b="1">
            <a:solidFill>
              <a:schemeClr val="tx2">
                <a:lumMod val="75000"/>
              </a:schemeClr>
            </a:solidFill>
          </a:endParaRPr>
        </a:p>
      </cdr:txBody>
    </cdr:sp>
  </cdr:relSizeAnchor>
  <cdr:relSizeAnchor xmlns:cdr="http://schemas.openxmlformats.org/drawingml/2006/chartDrawing">
    <cdr:from>
      <cdr:x>0.19602</cdr:x>
      <cdr:y>0.24993</cdr:y>
    </cdr:from>
    <cdr:to>
      <cdr:x>0.23468</cdr:x>
      <cdr:y>0.27125</cdr:y>
    </cdr:to>
    <cdr:sp macro="" textlink="">
      <cdr:nvSpPr>
        <cdr:cNvPr id="21" name="Rectangle 20"/>
        <cdr:cNvSpPr/>
      </cdr:nvSpPr>
      <cdr:spPr>
        <a:xfrm xmlns:a="http://schemas.openxmlformats.org/drawingml/2006/main">
          <a:off x="1825116" y="1520621"/>
          <a:ext cx="360000" cy="129714"/>
        </a:xfrm>
        <a:prstGeom xmlns:a="http://schemas.openxmlformats.org/drawingml/2006/main" prst="rect">
          <a:avLst/>
        </a:prstGeom>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0.19552</cdr:x>
      <cdr:y>0.28161</cdr:y>
    </cdr:from>
    <cdr:to>
      <cdr:x>0.23418</cdr:x>
      <cdr:y>0.30292</cdr:y>
    </cdr:to>
    <cdr:sp macro="" textlink="">
      <cdr:nvSpPr>
        <cdr:cNvPr id="22" name="Rectangle 21"/>
        <cdr:cNvSpPr/>
      </cdr:nvSpPr>
      <cdr:spPr>
        <a:xfrm xmlns:a="http://schemas.openxmlformats.org/drawingml/2006/main">
          <a:off x="1820434" y="1713394"/>
          <a:ext cx="360000" cy="129654"/>
        </a:xfrm>
        <a:prstGeom xmlns:a="http://schemas.openxmlformats.org/drawingml/2006/main" prst="rect">
          <a:avLst/>
        </a:prstGeom>
        <a:solidFill xmlns:a="http://schemas.openxmlformats.org/drawingml/2006/main">
          <a:schemeClr val="accent3"/>
        </a:solidFill>
        <a:ln xmlns:a="http://schemas.openxmlformats.org/drawingml/2006/main">
          <a:noFill/>
        </a:ln>
      </cdr:spPr>
      <cdr:style>
        <a:lnRef xmlns:a="http://schemas.openxmlformats.org/drawingml/2006/main" idx="2">
          <a:schemeClr val="accent5">
            <a:shade val="50000"/>
          </a:schemeClr>
        </a:lnRef>
        <a:fillRef xmlns:a="http://schemas.openxmlformats.org/drawingml/2006/main" idx="1">
          <a:schemeClr val="accent5"/>
        </a:fillRef>
        <a:effectRef xmlns:a="http://schemas.openxmlformats.org/drawingml/2006/main" idx="0">
          <a:schemeClr val="accent5"/>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296105" cy="6069419"/>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0.20254</cdr:x>
      <cdr:y>0.13487</cdr:y>
    </cdr:from>
    <cdr:to>
      <cdr:x>0.48372</cdr:x>
      <cdr:y>0.21385</cdr:y>
    </cdr:to>
    <cdr:sp macro="" textlink="">
      <cdr:nvSpPr>
        <cdr:cNvPr id="3" name="Rectangle 2"/>
        <cdr:cNvSpPr/>
      </cdr:nvSpPr>
      <cdr:spPr>
        <a:xfrm xmlns:a="http://schemas.openxmlformats.org/drawingml/2006/main">
          <a:off x="1882849" y="819593"/>
          <a:ext cx="2613836" cy="479943"/>
        </a:xfrm>
        <a:prstGeom xmlns:a="http://schemas.openxmlformats.org/drawingml/2006/main" prst="rect">
          <a:avLst/>
        </a:prstGeom>
        <a:solidFill xmlns:a="http://schemas.openxmlformats.org/drawingml/2006/main">
          <a:schemeClr val="bg1"/>
        </a:solidFill>
        <a:ln xmlns:a="http://schemas.openxmlformats.org/drawingml/2006/main" w="9525">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0.23422</cdr:x>
      <cdr:y>0.14202</cdr:y>
    </cdr:from>
    <cdr:to>
      <cdr:x>0.49449</cdr:x>
      <cdr:y>0.20455</cdr:y>
    </cdr:to>
    <cdr:sp macro="" textlink="">
      <cdr:nvSpPr>
        <cdr:cNvPr id="2" name="TextBox 1"/>
        <cdr:cNvSpPr txBox="1"/>
      </cdr:nvSpPr>
      <cdr:spPr>
        <a:xfrm xmlns:a="http://schemas.openxmlformats.org/drawingml/2006/main">
          <a:off x="2177311" y="863010"/>
          <a:ext cx="2419497" cy="38000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ZA" sz="1200" b="0">
              <a:solidFill>
                <a:schemeClr val="tx2">
                  <a:lumMod val="75000"/>
                </a:schemeClr>
              </a:solidFill>
            </a:rPr>
            <a:t>       </a:t>
          </a:r>
          <a:r>
            <a:rPr lang="en-ZA" sz="1200" b="0">
              <a:solidFill>
                <a:schemeClr val="tx1"/>
              </a:solidFill>
            </a:rPr>
            <a:t>132 l Main wing tanks</a:t>
          </a:r>
        </a:p>
        <a:p xmlns:a="http://schemas.openxmlformats.org/drawingml/2006/main">
          <a:r>
            <a:rPr lang="en-ZA" sz="1200" b="0">
              <a:solidFill>
                <a:schemeClr val="tx1"/>
              </a:solidFill>
              <a:effectLst/>
              <a:latin typeface="+mn-lt"/>
              <a:ea typeface="+mn-ea"/>
              <a:cs typeface="+mn-cs"/>
            </a:rPr>
            <a:t>       156 l Main wing tanks</a:t>
          </a:r>
          <a:r>
            <a:rPr lang="en-ZA" sz="1200" b="0" baseline="0">
              <a:solidFill>
                <a:schemeClr val="tx1"/>
              </a:solidFill>
              <a:effectLst/>
              <a:latin typeface="+mn-lt"/>
              <a:ea typeface="+mn-ea"/>
              <a:cs typeface="+mn-cs"/>
            </a:rPr>
            <a:t> (optional)</a:t>
          </a:r>
          <a:endParaRPr lang="en-ZA" sz="1200" b="0">
            <a:solidFill>
              <a:schemeClr val="tx1"/>
            </a:solidFill>
            <a:effectLst/>
          </a:endParaRPr>
        </a:p>
        <a:p xmlns:a="http://schemas.openxmlformats.org/drawingml/2006/main">
          <a:endParaRPr lang="en-ZA" sz="700" b="0">
            <a:solidFill>
              <a:schemeClr val="tx2">
                <a:lumMod val="75000"/>
              </a:schemeClr>
            </a:solidFill>
          </a:endParaRPr>
        </a:p>
        <a:p xmlns:a="http://schemas.openxmlformats.org/drawingml/2006/main">
          <a:endParaRPr lang="en-ZA" sz="700" b="1">
            <a:solidFill>
              <a:schemeClr val="tx2">
                <a:lumMod val="75000"/>
              </a:schemeClr>
            </a:solidFill>
          </a:endParaRPr>
        </a:p>
      </cdr:txBody>
    </cdr:sp>
  </cdr:relSizeAnchor>
  <cdr:relSizeAnchor xmlns:cdr="http://schemas.openxmlformats.org/drawingml/2006/chartDrawing">
    <cdr:from>
      <cdr:x>0.20851</cdr:x>
      <cdr:y>0.14688</cdr:y>
    </cdr:from>
    <cdr:to>
      <cdr:x>0.24717</cdr:x>
      <cdr:y>0.16817</cdr:y>
    </cdr:to>
    <cdr:sp macro="" textlink="">
      <cdr:nvSpPr>
        <cdr:cNvPr id="4" name="Rectangle 3"/>
        <cdr:cNvSpPr/>
      </cdr:nvSpPr>
      <cdr:spPr>
        <a:xfrm xmlns:a="http://schemas.openxmlformats.org/drawingml/2006/main">
          <a:off x="1938298" y="892544"/>
          <a:ext cx="359387" cy="129400"/>
        </a:xfrm>
        <a:prstGeom xmlns:a="http://schemas.openxmlformats.org/drawingml/2006/main" prst="rect">
          <a:avLst/>
        </a:prstGeom>
        <a:solidFill xmlns:a="http://schemas.openxmlformats.org/drawingml/2006/main">
          <a:schemeClr val="accent4">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0.20801</cdr:x>
      <cdr:y>0.17852</cdr:y>
    </cdr:from>
    <cdr:to>
      <cdr:x>0.24667</cdr:x>
      <cdr:y>0.1998</cdr:y>
    </cdr:to>
    <cdr:sp macro="" textlink="">
      <cdr:nvSpPr>
        <cdr:cNvPr id="5" name="Rectangle 4"/>
        <cdr:cNvSpPr/>
      </cdr:nvSpPr>
      <cdr:spPr>
        <a:xfrm xmlns:a="http://schemas.openxmlformats.org/drawingml/2006/main">
          <a:off x="1933649" y="1084823"/>
          <a:ext cx="359388" cy="129339"/>
        </a:xfrm>
        <a:prstGeom xmlns:a="http://schemas.openxmlformats.org/drawingml/2006/main" prst="rect">
          <a:avLst/>
        </a:prstGeom>
        <a:solidFill xmlns:a="http://schemas.openxmlformats.org/drawingml/2006/main">
          <a:srgbClr val="0070C0"/>
        </a:solidFill>
        <a:ln xmlns:a="http://schemas.openxmlformats.org/drawingml/2006/main">
          <a:noFill/>
        </a:ln>
      </cdr:spPr>
      <cdr:style>
        <a:lnRef xmlns:a="http://schemas.openxmlformats.org/drawingml/2006/main" idx="2">
          <a:schemeClr val="accent5">
            <a:shade val="50000"/>
          </a:schemeClr>
        </a:lnRef>
        <a:fillRef xmlns:a="http://schemas.openxmlformats.org/drawingml/2006/main" idx="1">
          <a:schemeClr val="accent5"/>
        </a:fillRef>
        <a:effectRef xmlns:a="http://schemas.openxmlformats.org/drawingml/2006/main" idx="0">
          <a:schemeClr val="accent5"/>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15.xml><?xml version="1.0" encoding="utf-8"?>
<xdr:wsDr xmlns:xdr="http://schemas.openxmlformats.org/drawingml/2006/spreadsheetDrawing" xmlns:a="http://schemas.openxmlformats.org/drawingml/2006/main">
  <xdr:twoCellAnchor>
    <xdr:from>
      <xdr:col>21</xdr:col>
      <xdr:colOff>28574</xdr:colOff>
      <xdr:row>1</xdr:row>
      <xdr:rowOff>114301</xdr:rowOff>
    </xdr:from>
    <xdr:to>
      <xdr:col>28</xdr:col>
      <xdr:colOff>57150</xdr:colOff>
      <xdr:row>4</xdr:row>
      <xdr:rowOff>180976</xdr:rowOff>
    </xdr:to>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13315949" y="276226"/>
          <a:ext cx="4295776"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=-1.71511793130427E-10*E2^6+9.50302625981645E-08*E2^5-0.000020616514935014*E2^4+0.00226864992823323*E2^3-0.138637060615541*E2^2+4.57788786636922*E2+195.415953292905</a:t>
          </a:r>
        </a:p>
      </xdr:txBody>
    </xdr:sp>
    <xdr:clientData/>
  </xdr:twoCellAnchor>
  <xdr:twoCellAnchor>
    <xdr:from>
      <xdr:col>7</xdr:col>
      <xdr:colOff>0</xdr:colOff>
      <xdr:row>7</xdr:row>
      <xdr:rowOff>0</xdr:rowOff>
    </xdr:from>
    <xdr:to>
      <xdr:col>19</xdr:col>
      <xdr:colOff>586068</xdr:colOff>
      <xdr:row>30</xdr:row>
      <xdr:rowOff>85725</xdr:rowOff>
    </xdr:to>
    <xdr:graphicFrame macro="">
      <xdr:nvGraphicFramePr>
        <xdr:cNvPr id="6" name="Chart 5">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28575</xdr:colOff>
      <xdr:row>1</xdr:row>
      <xdr:rowOff>76200</xdr:rowOff>
    </xdr:from>
    <xdr:to>
      <xdr:col>13</xdr:col>
      <xdr:colOff>304800</xdr:colOff>
      <xdr:row>20</xdr:row>
      <xdr:rowOff>95250</xdr:rowOff>
    </xdr:to>
    <xdr:graphicFrame macro="">
      <xdr:nvGraphicFramePr>
        <xdr:cNvPr id="657894" name="Chart 1">
          <a:extLst>
            <a:ext uri="{FF2B5EF4-FFF2-40B4-BE49-F238E27FC236}">
              <a16:creationId xmlns:a16="http://schemas.microsoft.com/office/drawing/2014/main" id="{00000000-0008-0000-0E00-0000E609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15</xdr:col>
      <xdr:colOff>601980</xdr:colOff>
      <xdr:row>17</xdr:row>
      <xdr:rowOff>152400</xdr:rowOff>
    </xdr:from>
    <xdr:to>
      <xdr:col>22</xdr:col>
      <xdr:colOff>99060</xdr:colOff>
      <xdr:row>25</xdr:row>
      <xdr:rowOff>99060</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7734300" y="3886200"/>
          <a:ext cx="3832860" cy="1287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100"/>
            <a:t>Assumption</a:t>
          </a:r>
          <a:r>
            <a:rPr lang="en-ZA" sz="1100" baseline="0"/>
            <a:t> 1: Assume M1 is fixed at 305 kg and amend M2 so that min cockpit weight is equal to table value</a:t>
          </a:r>
        </a:p>
        <a:p>
          <a:endParaRPr lang="en-ZA" sz="1100" baseline="0"/>
        </a:p>
        <a:p>
          <a:r>
            <a:rPr lang="en-ZA" sz="1100" baseline="0"/>
            <a:t>Assumption 2: 18m </a:t>
          </a:r>
        </a:p>
        <a:p>
          <a:endParaRPr lang="en-ZA" sz="1100" baseline="0"/>
        </a:p>
        <a:p>
          <a:r>
            <a:rPr lang="en-ZA" sz="1100" baseline="0"/>
            <a:t>Assumption 3: no batteries or 2 batteries ?</a:t>
          </a:r>
          <a:endParaRPr lang="en-ZA" sz="1100"/>
        </a:p>
      </xdr:txBody>
    </xdr:sp>
    <xdr:clientData/>
  </xdr:twoCellAnchor>
  <xdr:twoCellAnchor editAs="oneCell">
    <xdr:from>
      <xdr:col>15</xdr:col>
      <xdr:colOff>443865</xdr:colOff>
      <xdr:row>30</xdr:row>
      <xdr:rowOff>152400</xdr:rowOff>
    </xdr:from>
    <xdr:to>
      <xdr:col>23</xdr:col>
      <xdr:colOff>598843</xdr:colOff>
      <xdr:row>41</xdr:row>
      <xdr:rowOff>96259</xdr:rowOff>
    </xdr:to>
    <xdr:pic>
      <xdr:nvPicPr>
        <xdr:cNvPr id="3" name="Picture 1">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6185" y="6065520"/>
          <a:ext cx="5100358" cy="17878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563880</xdr:colOff>
      <xdr:row>44</xdr:row>
      <xdr:rowOff>89423</xdr:rowOff>
    </xdr:from>
    <xdr:to>
      <xdr:col>19</xdr:col>
      <xdr:colOff>327772</xdr:colOff>
      <xdr:row>49</xdr:row>
      <xdr:rowOff>75416</xdr:rowOff>
    </xdr:to>
    <xdr:pic>
      <xdr:nvPicPr>
        <xdr:cNvPr id="4" name="Picture 2">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96200" y="8349503"/>
          <a:ext cx="2156572" cy="824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17</xdr:row>
      <xdr:rowOff>47625</xdr:rowOff>
    </xdr:from>
    <xdr:to>
      <xdr:col>6</xdr:col>
      <xdr:colOff>224790</xdr:colOff>
      <xdr:row>42</xdr:row>
      <xdr:rowOff>34290</xdr:rowOff>
    </xdr:to>
    <xdr:pic>
      <xdr:nvPicPr>
        <xdr:cNvPr id="2431293" name="Picture 2">
          <a:extLst>
            <a:ext uri="{FF2B5EF4-FFF2-40B4-BE49-F238E27FC236}">
              <a16:creationId xmlns:a16="http://schemas.microsoft.com/office/drawing/2014/main" id="{00000000-0008-0000-1200-00003D1925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19475"/>
          <a:ext cx="5438775" cy="402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9525</xdr:colOff>
      <xdr:row>18</xdr:row>
      <xdr:rowOff>95250</xdr:rowOff>
    </xdr:from>
    <xdr:to>
      <xdr:col>17</xdr:col>
      <xdr:colOff>986678</xdr:colOff>
      <xdr:row>29</xdr:row>
      <xdr:rowOff>3810</xdr:rowOff>
    </xdr:to>
    <xdr:pic>
      <xdr:nvPicPr>
        <xdr:cNvPr id="2431294" name="Picture 1">
          <a:extLst>
            <a:ext uri="{FF2B5EF4-FFF2-40B4-BE49-F238E27FC236}">
              <a16:creationId xmlns:a16="http://schemas.microsoft.com/office/drawing/2014/main" id="{00000000-0008-0000-1200-00003E1925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29475" y="3629025"/>
          <a:ext cx="4962525"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30</xdr:row>
      <xdr:rowOff>0</xdr:rowOff>
    </xdr:from>
    <xdr:to>
      <xdr:col>13</xdr:col>
      <xdr:colOff>232410</xdr:colOff>
      <xdr:row>34</xdr:row>
      <xdr:rowOff>148589</xdr:rowOff>
    </xdr:to>
    <xdr:pic>
      <xdr:nvPicPr>
        <xdr:cNvPr id="2431295" name="Picture 2">
          <a:extLst>
            <a:ext uri="{FF2B5EF4-FFF2-40B4-BE49-F238E27FC236}">
              <a16:creationId xmlns:a16="http://schemas.microsoft.com/office/drawing/2014/main" id="{00000000-0008-0000-1200-00003F1925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19950" y="5476875"/>
          <a:ext cx="20955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39</xdr:row>
      <xdr:rowOff>47625</xdr:rowOff>
    </xdr:from>
    <xdr:to>
      <xdr:col>18</xdr:col>
      <xdr:colOff>323850</xdr:colOff>
      <xdr:row>41</xdr:row>
      <xdr:rowOff>161925</xdr:rowOff>
    </xdr:to>
    <xdr:pic>
      <xdr:nvPicPr>
        <xdr:cNvPr id="2431296" name="Picture 5">
          <a:extLst>
            <a:ext uri="{FF2B5EF4-FFF2-40B4-BE49-F238E27FC236}">
              <a16:creationId xmlns:a16="http://schemas.microsoft.com/office/drawing/2014/main" id="{00000000-0008-0000-1200-0000401925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19950" y="6981825"/>
          <a:ext cx="57340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46</xdr:row>
      <xdr:rowOff>0</xdr:rowOff>
    </xdr:from>
    <xdr:to>
      <xdr:col>8</xdr:col>
      <xdr:colOff>491490</xdr:colOff>
      <xdr:row>65</xdr:row>
      <xdr:rowOff>34290</xdr:rowOff>
    </xdr:to>
    <xdr:pic>
      <xdr:nvPicPr>
        <xdr:cNvPr id="2431297" name="Picture 1">
          <a:extLst>
            <a:ext uri="{FF2B5EF4-FFF2-40B4-BE49-F238E27FC236}">
              <a16:creationId xmlns:a16="http://schemas.microsoft.com/office/drawing/2014/main" id="{00000000-0008-0000-1200-0000411925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8067675"/>
          <a:ext cx="7038975" cy="3105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201930</xdr:colOff>
      <xdr:row>10</xdr:row>
      <xdr:rowOff>99060</xdr:rowOff>
    </xdr:from>
    <xdr:to>
      <xdr:col>14</xdr:col>
      <xdr:colOff>333375</xdr:colOff>
      <xdr:row>23</xdr:row>
      <xdr:rowOff>17145</xdr:rowOff>
    </xdr:to>
    <xdr:pic>
      <xdr:nvPicPr>
        <xdr:cNvPr id="2404515" name="Picture 5">
          <a:extLst>
            <a:ext uri="{FF2B5EF4-FFF2-40B4-BE49-F238E27FC236}">
              <a16:creationId xmlns:a16="http://schemas.microsoft.com/office/drawing/2014/main" id="{00000000-0008-0000-0100-0000A3B024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3297" r="7378"/>
        <a:stretch>
          <a:fillRect/>
        </a:stretch>
      </xdr:blipFill>
      <xdr:spPr bwMode="auto">
        <a:xfrm>
          <a:off x="3752850" y="1981200"/>
          <a:ext cx="3926205" cy="212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295275</xdr:colOff>
      <xdr:row>0</xdr:row>
      <xdr:rowOff>76200</xdr:rowOff>
    </xdr:from>
    <xdr:to>
      <xdr:col>3</xdr:col>
      <xdr:colOff>266700</xdr:colOff>
      <xdr:row>3</xdr:row>
      <xdr:rowOff>36455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0" y="76200"/>
          <a:ext cx="1152525" cy="54128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38100</xdr:colOff>
          <xdr:row>20</xdr:row>
          <xdr:rowOff>38100</xdr:rowOff>
        </xdr:from>
        <xdr:to>
          <xdr:col>3</xdr:col>
          <xdr:colOff>447675</xdr:colOff>
          <xdr:row>22</xdr:row>
          <xdr:rowOff>76200</xdr:rowOff>
        </xdr:to>
        <xdr:sp macro="" textlink="">
          <xdr:nvSpPr>
            <xdr:cNvPr id="2404355" name="Object 3" hidden="1">
              <a:extLst>
                <a:ext uri="{63B3BB69-23CF-44E3-9099-C40C66FF867C}">
                  <a14:compatExt spid="_x0000_s2404355"/>
                </a:ext>
                <a:ext uri="{FF2B5EF4-FFF2-40B4-BE49-F238E27FC236}">
                  <a16:creationId xmlns:a16="http://schemas.microsoft.com/office/drawing/2014/main" id="{00000000-0008-0000-0100-000003B024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83820</xdr:colOff>
      <xdr:row>19</xdr:row>
      <xdr:rowOff>7620</xdr:rowOff>
    </xdr:from>
    <xdr:to>
      <xdr:col>9</xdr:col>
      <xdr:colOff>152400</xdr:colOff>
      <xdr:row>20</xdr:row>
      <xdr:rowOff>68580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83820" y="3421380"/>
          <a:ext cx="430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100" i="1"/>
            <a:t>*Measured value can be entered to override formula calculated value</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21</xdr:row>
          <xdr:rowOff>76200</xdr:rowOff>
        </xdr:from>
        <xdr:to>
          <xdr:col>3</xdr:col>
          <xdr:colOff>657225</xdr:colOff>
          <xdr:row>23</xdr:row>
          <xdr:rowOff>152400</xdr:rowOff>
        </xdr:to>
        <xdr:sp macro="" textlink="">
          <xdr:nvSpPr>
            <xdr:cNvPr id="51202" name="Object 2" hidden="1">
              <a:extLst>
                <a:ext uri="{63B3BB69-23CF-44E3-9099-C40C66FF867C}">
                  <a14:compatExt spid="_x0000_s51202"/>
                </a:ext>
                <a:ext uri="{FF2B5EF4-FFF2-40B4-BE49-F238E27FC236}">
                  <a16:creationId xmlns:a16="http://schemas.microsoft.com/office/drawing/2014/main" id="{00000000-0008-0000-0200-000002C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140970</xdr:colOff>
      <xdr:row>10</xdr:row>
      <xdr:rowOff>99060</xdr:rowOff>
    </xdr:from>
    <xdr:to>
      <xdr:col>15</xdr:col>
      <xdr:colOff>36195</xdr:colOff>
      <xdr:row>23</xdr:row>
      <xdr:rowOff>43815</xdr:rowOff>
    </xdr:to>
    <xdr:pic>
      <xdr:nvPicPr>
        <xdr:cNvPr id="1954279" name="Picture 5">
          <a:extLst>
            <a:ext uri="{FF2B5EF4-FFF2-40B4-BE49-F238E27FC236}">
              <a16:creationId xmlns:a16="http://schemas.microsoft.com/office/drawing/2014/main" id="{00000000-0008-0000-0200-0000E7D11D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3297" r="7378"/>
        <a:stretch>
          <a:fillRect/>
        </a:stretch>
      </xdr:blipFill>
      <xdr:spPr bwMode="auto">
        <a:xfrm>
          <a:off x="3691890" y="1958340"/>
          <a:ext cx="3926205" cy="2063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153459</xdr:colOff>
      <xdr:row>0</xdr:row>
      <xdr:rowOff>98425</xdr:rowOff>
    </xdr:from>
    <xdr:to>
      <xdr:col>3</xdr:col>
      <xdr:colOff>343959</xdr:colOff>
      <xdr:row>3</xdr:row>
      <xdr:rowOff>123825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9184" y="98425"/>
          <a:ext cx="1371600" cy="606425"/>
        </a:xfrm>
        <a:prstGeom prst="rect">
          <a:avLst/>
        </a:prstGeom>
      </xdr:spPr>
    </xdr:pic>
    <xdr:clientData/>
  </xdr:twoCellAnchor>
  <xdr:twoCellAnchor>
    <xdr:from>
      <xdr:col>0</xdr:col>
      <xdr:colOff>38100</xdr:colOff>
      <xdr:row>18</xdr:row>
      <xdr:rowOff>129540</xdr:rowOff>
    </xdr:from>
    <xdr:to>
      <xdr:col>9</xdr:col>
      <xdr:colOff>106680</xdr:colOff>
      <xdr:row>20</xdr:row>
      <xdr:rowOff>38100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8100" y="3284220"/>
          <a:ext cx="43053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100" i="1"/>
            <a:t>*Measured value can be entered to override formula calculated value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219075</xdr:colOff>
      <xdr:row>0</xdr:row>
      <xdr:rowOff>152400</xdr:rowOff>
    </xdr:from>
    <xdr:to>
      <xdr:col>19</xdr:col>
      <xdr:colOff>19050</xdr:colOff>
      <xdr:row>30</xdr:row>
      <xdr:rowOff>38100</xdr:rowOff>
    </xdr:to>
    <xdr:graphicFrame macro="">
      <xdr:nvGraphicFramePr>
        <xdr:cNvPr id="1955347" name="Chart 1">
          <a:extLst>
            <a:ext uri="{FF2B5EF4-FFF2-40B4-BE49-F238E27FC236}">
              <a16:creationId xmlns:a16="http://schemas.microsoft.com/office/drawing/2014/main" id="{00000000-0008-0000-0300-000013D61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1289049</xdr:colOff>
      <xdr:row>5</xdr:row>
      <xdr:rowOff>80645</xdr:rowOff>
    </xdr:from>
    <xdr:to>
      <xdr:col>7</xdr:col>
      <xdr:colOff>362240</xdr:colOff>
      <xdr:row>5</xdr:row>
      <xdr:rowOff>320910</xdr:rowOff>
    </xdr:to>
    <xdr:sp macro="" textlink="">
      <xdr:nvSpPr>
        <xdr:cNvPr id="3" name="Rectangular Callout 2">
          <a:extLst>
            <a:ext uri="{FF2B5EF4-FFF2-40B4-BE49-F238E27FC236}">
              <a16:creationId xmlns:a16="http://schemas.microsoft.com/office/drawing/2014/main" id="{00000000-0008-0000-0300-000003000000}"/>
            </a:ext>
          </a:extLst>
        </xdr:cNvPr>
        <xdr:cNvSpPr/>
      </xdr:nvSpPr>
      <xdr:spPr>
        <a:xfrm>
          <a:off x="2336799" y="1252220"/>
          <a:ext cx="2073566" cy="240265"/>
        </a:xfrm>
        <a:prstGeom prst="wedgeRectCallout">
          <a:avLst>
            <a:gd name="adj1" fmla="val 20039"/>
            <a:gd name="adj2" fmla="val 103805"/>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en-ZA" sz="1100"/>
            <a:t>Enter</a:t>
          </a:r>
          <a:r>
            <a:rPr lang="en-ZA" sz="1100" baseline="0"/>
            <a:t> loading only in this column</a:t>
          </a:r>
          <a:endParaRPr lang="en-ZA" sz="1100"/>
        </a:p>
      </xdr:txBody>
    </xdr:sp>
    <xdr:clientData/>
  </xdr:twoCellAnchor>
  <xdr:twoCellAnchor editAs="oneCell">
    <xdr:from>
      <xdr:col>1</xdr:col>
      <xdr:colOff>104775</xdr:colOff>
      <xdr:row>0</xdr:row>
      <xdr:rowOff>133350</xdr:rowOff>
    </xdr:from>
    <xdr:to>
      <xdr:col>2</xdr:col>
      <xdr:colOff>238125</xdr:colOff>
      <xdr:row>3</xdr:row>
      <xdr:rowOff>114764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33350"/>
          <a:ext cx="1095375" cy="495764"/>
        </a:xfrm>
        <a:prstGeom prst="rect">
          <a:avLst/>
        </a:prstGeom>
      </xdr:spPr>
    </xdr:pic>
    <xdr:clientData/>
  </xdr:twoCellAnchor>
  <xdr:twoCellAnchor>
    <xdr:from>
      <xdr:col>3</xdr:col>
      <xdr:colOff>476250</xdr:colOff>
      <xdr:row>0</xdr:row>
      <xdr:rowOff>76200</xdr:rowOff>
    </xdr:from>
    <xdr:to>
      <xdr:col>9</xdr:col>
      <xdr:colOff>219075</xdr:colOff>
      <xdr:row>2</xdr:row>
      <xdr:rowOff>28575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524000" y="76200"/>
          <a:ext cx="4086225"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600" b="1">
              <a:latin typeface="Arial" panose="020B0604020202020204" pitchFamily="34" charset="0"/>
              <a:cs typeface="Arial" panose="020B0604020202020204" pitchFamily="34" charset="0"/>
            </a:rPr>
            <a:t>Weight and Balance Calculator </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0.37059</cdr:x>
      <cdr:y>0.18884</cdr:y>
    </cdr:from>
    <cdr:to>
      <cdr:x>0.7682</cdr:x>
      <cdr:y>0.78449</cdr:y>
    </cdr:to>
    <cdr:sp macro="" textlink="">
      <cdr:nvSpPr>
        <cdr:cNvPr id="26" name="Freeform 3"/>
        <cdr:cNvSpPr/>
      </cdr:nvSpPr>
      <cdr:spPr>
        <a:xfrm xmlns:a="http://schemas.openxmlformats.org/drawingml/2006/main">
          <a:off x="2350893" y="983889"/>
          <a:ext cx="2522299" cy="3103441"/>
        </a:xfrm>
        <a:custGeom xmlns:a="http://schemas.openxmlformats.org/drawingml/2006/main">
          <a:avLst/>
          <a:gdLst>
            <a:gd name="connsiteX0" fmla="*/ 1931276 w 2292569"/>
            <a:gd name="connsiteY0" fmla="*/ 0 h 2699845"/>
            <a:gd name="connsiteX1" fmla="*/ 2292569 w 2292569"/>
            <a:gd name="connsiteY1" fmla="*/ 0 h 2699845"/>
            <a:gd name="connsiteX2" fmla="*/ 381000 w 2292569"/>
            <a:gd name="connsiteY2" fmla="*/ 2699845 h 2699845"/>
            <a:gd name="connsiteX3" fmla="*/ 0 w 2292569"/>
            <a:gd name="connsiteY3" fmla="*/ 2693276 h 2699845"/>
            <a:gd name="connsiteX4" fmla="*/ 1931276 w 2292569"/>
            <a:gd name="connsiteY4" fmla="*/ 0 h 2699845"/>
            <a:gd name="connsiteX0" fmla="*/ 1931276 w 2292569"/>
            <a:gd name="connsiteY0" fmla="*/ 0 h 2693276"/>
            <a:gd name="connsiteX1" fmla="*/ 2292569 w 2292569"/>
            <a:gd name="connsiteY1" fmla="*/ 0 h 2693276"/>
            <a:gd name="connsiteX2" fmla="*/ 354120 w 2292569"/>
            <a:gd name="connsiteY2" fmla="*/ 2685084 h 2693276"/>
            <a:gd name="connsiteX3" fmla="*/ 0 w 2292569"/>
            <a:gd name="connsiteY3" fmla="*/ 2693276 h 2693276"/>
            <a:gd name="connsiteX4" fmla="*/ 1931276 w 2292569"/>
            <a:gd name="connsiteY4" fmla="*/ 0 h 2693276"/>
            <a:gd name="connsiteX0" fmla="*/ 1936652 w 2297945"/>
            <a:gd name="connsiteY0" fmla="*/ 0 h 2693276"/>
            <a:gd name="connsiteX1" fmla="*/ 2297945 w 2297945"/>
            <a:gd name="connsiteY1" fmla="*/ 0 h 2693276"/>
            <a:gd name="connsiteX2" fmla="*/ 359496 w 2297945"/>
            <a:gd name="connsiteY2" fmla="*/ 2685084 h 2693276"/>
            <a:gd name="connsiteX3" fmla="*/ 0 w 2297945"/>
            <a:gd name="connsiteY3" fmla="*/ 2693276 h 2693276"/>
            <a:gd name="connsiteX4" fmla="*/ 1936652 w 2297945"/>
            <a:gd name="connsiteY4" fmla="*/ 0 h 269327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297945" h="2693276">
              <a:moveTo>
                <a:pt x="1936652" y="0"/>
              </a:moveTo>
              <a:lnTo>
                <a:pt x="2297945" y="0"/>
              </a:lnTo>
              <a:lnTo>
                <a:pt x="359496" y="2685084"/>
              </a:lnTo>
              <a:lnTo>
                <a:pt x="0" y="2693276"/>
              </a:lnTo>
              <a:lnTo>
                <a:pt x="1936652" y="0"/>
              </a:lnTo>
              <a:close/>
            </a:path>
          </a:pathLst>
        </a:custGeom>
        <a:solidFill xmlns:a="http://schemas.openxmlformats.org/drawingml/2006/main">
          <a:srgbClr val="FFC000">
            <a:alpha val="13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ZA"/>
        </a:p>
      </cdr:txBody>
    </cdr:sp>
  </cdr:relSizeAnchor>
  <cdr:relSizeAnchor xmlns:cdr="http://schemas.openxmlformats.org/drawingml/2006/chartDrawing">
    <cdr:from>
      <cdr:x>0.69128</cdr:x>
      <cdr:y>0.59073</cdr:y>
    </cdr:from>
    <cdr:to>
      <cdr:x>0.89547</cdr:x>
      <cdr:y>0.72104</cdr:y>
    </cdr:to>
    <cdr:sp macro="" textlink="">
      <cdr:nvSpPr>
        <cdr:cNvPr id="2" name="TextBox 1"/>
        <cdr:cNvSpPr txBox="1"/>
      </cdr:nvSpPr>
      <cdr:spPr>
        <a:xfrm xmlns:a="http://schemas.openxmlformats.org/drawingml/2006/main">
          <a:off x="4628898" y="3866346"/>
          <a:ext cx="1368603" cy="83872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ZA" sz="1400" b="1"/>
            <a:t>Out</a:t>
          </a:r>
          <a:r>
            <a:rPr lang="en-ZA" sz="1400" b="1" baseline="0"/>
            <a:t> of limits </a:t>
          </a:r>
        </a:p>
        <a:p xmlns:a="http://schemas.openxmlformats.org/drawingml/2006/main">
          <a:pPr algn="ctr"/>
          <a:r>
            <a:rPr lang="en-ZA" sz="1400" b="1" baseline="0"/>
            <a:t>(aft)</a:t>
          </a:r>
          <a:endParaRPr lang="en-ZA" sz="1400" b="1"/>
        </a:p>
      </cdr:txBody>
    </cdr:sp>
  </cdr:relSizeAnchor>
  <cdr:relSizeAnchor xmlns:cdr="http://schemas.openxmlformats.org/drawingml/2006/chartDrawing">
    <cdr:from>
      <cdr:x>0.14303</cdr:x>
      <cdr:y>0.28355</cdr:y>
    </cdr:from>
    <cdr:to>
      <cdr:x>0.33819</cdr:x>
      <cdr:y>0.37369</cdr:y>
    </cdr:to>
    <cdr:sp macro="" textlink="">
      <cdr:nvSpPr>
        <cdr:cNvPr id="3" name="TextBox 1"/>
        <cdr:cNvSpPr txBox="1"/>
      </cdr:nvSpPr>
      <cdr:spPr>
        <a:xfrm xmlns:a="http://schemas.openxmlformats.org/drawingml/2006/main">
          <a:off x="856970" y="1336781"/>
          <a:ext cx="1169328" cy="42496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ZA" sz="1400" b="1"/>
            <a:t>Out</a:t>
          </a:r>
          <a:r>
            <a:rPr lang="en-ZA" sz="1400" b="1" baseline="0"/>
            <a:t> of limits </a:t>
          </a:r>
        </a:p>
        <a:p xmlns:a="http://schemas.openxmlformats.org/drawingml/2006/main">
          <a:pPr algn="ctr"/>
          <a:r>
            <a:rPr lang="en-ZA" sz="1400" b="1" baseline="0"/>
            <a:t>(forward)</a:t>
          </a:r>
          <a:endParaRPr lang="en-ZA" sz="1400" b="1"/>
        </a:p>
      </cdr:txBody>
    </cdr:sp>
  </cdr:relSizeAnchor>
  <cdr:relSizeAnchor xmlns:cdr="http://schemas.openxmlformats.org/drawingml/2006/chartDrawing">
    <cdr:from>
      <cdr:x>0.60698</cdr:x>
      <cdr:y>0.36399</cdr:y>
    </cdr:from>
    <cdr:to>
      <cdr:x>0.64816</cdr:x>
      <cdr:y>0.66535</cdr:y>
    </cdr:to>
    <cdr:sp macro="" textlink="">
      <cdr:nvSpPr>
        <cdr:cNvPr id="8" name="TextBox 1"/>
        <cdr:cNvSpPr txBox="1"/>
      </cdr:nvSpPr>
      <cdr:spPr>
        <a:xfrm xmlns:a="http://schemas.openxmlformats.org/drawingml/2006/main" rot="18299240">
          <a:off x="3049798" y="2303015"/>
          <a:ext cx="1420750" cy="24673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ZA" sz="1200" b="1"/>
            <a:t>Aft Limit  - 390mm</a:t>
          </a:r>
        </a:p>
      </cdr:txBody>
    </cdr:sp>
  </cdr:relSizeAnchor>
  <cdr:relSizeAnchor xmlns:cdr="http://schemas.openxmlformats.org/drawingml/2006/chartDrawing">
    <cdr:from>
      <cdr:x>0.26919</cdr:x>
      <cdr:y>0.59691</cdr:y>
    </cdr:from>
    <cdr:to>
      <cdr:x>0.30859</cdr:x>
      <cdr:y>0.71051</cdr:y>
    </cdr:to>
    <cdr:sp macro="" textlink="">
      <cdr:nvSpPr>
        <cdr:cNvPr id="9" name="TextBox 1"/>
        <cdr:cNvSpPr txBox="1"/>
      </cdr:nvSpPr>
      <cdr:spPr>
        <a:xfrm xmlns:a="http://schemas.openxmlformats.org/drawingml/2006/main" rot="17806874">
          <a:off x="1463143" y="2963855"/>
          <a:ext cx="535563" cy="23607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ZA" sz="1200" b="1"/>
            <a:t>270mm</a:t>
          </a:r>
        </a:p>
      </cdr:txBody>
    </cdr:sp>
  </cdr:relSizeAnchor>
  <cdr:relSizeAnchor xmlns:cdr="http://schemas.openxmlformats.org/drawingml/2006/chartDrawing">
    <cdr:from>
      <cdr:x>0.39587</cdr:x>
      <cdr:y>0.27823</cdr:y>
    </cdr:from>
    <cdr:to>
      <cdr:x>0.43528</cdr:x>
      <cdr:y>0.49997</cdr:y>
    </cdr:to>
    <cdr:sp macro="" textlink="">
      <cdr:nvSpPr>
        <cdr:cNvPr id="7" name="TextBox 1"/>
        <cdr:cNvSpPr txBox="1"/>
      </cdr:nvSpPr>
      <cdr:spPr>
        <a:xfrm xmlns:a="http://schemas.openxmlformats.org/drawingml/2006/main" rot="18442662">
          <a:off x="1967287" y="1716327"/>
          <a:ext cx="1045385" cy="23613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ZA" sz="1200" b="1"/>
            <a:t>Forward Limit  </a:t>
          </a:r>
        </a:p>
      </cdr:txBody>
    </cdr:sp>
  </cdr:relSizeAnchor>
  <cdr:relSizeAnchor xmlns:cdr="http://schemas.openxmlformats.org/drawingml/2006/chartDrawing">
    <cdr:from>
      <cdr:x>0.54616</cdr:x>
      <cdr:y>0.37051</cdr:y>
    </cdr:from>
    <cdr:to>
      <cdr:x>0.58992</cdr:x>
      <cdr:y>0.58521</cdr:y>
    </cdr:to>
    <cdr:sp macro="" textlink="">
      <cdr:nvSpPr>
        <cdr:cNvPr id="10" name="TextBox 1"/>
        <cdr:cNvSpPr txBox="1"/>
      </cdr:nvSpPr>
      <cdr:spPr>
        <a:xfrm xmlns:a="http://schemas.openxmlformats.org/drawingml/2006/main" rot="18316561">
          <a:off x="2803196" y="2034629"/>
          <a:ext cx="957276" cy="24666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ZA" sz="1200" b="1">
              <a:solidFill>
                <a:srgbClr val="FFC000"/>
              </a:solidFill>
            </a:rPr>
            <a:t>Caution Zone</a:t>
          </a:r>
        </a:p>
      </cdr:txBody>
    </cdr:sp>
  </cdr:relSizeAnchor>
  <cdr:relSizeAnchor xmlns:cdr="http://schemas.openxmlformats.org/drawingml/2006/chartDrawing">
    <cdr:from>
      <cdr:x>0.48652</cdr:x>
      <cdr:y>0.11849</cdr:y>
    </cdr:from>
    <cdr:to>
      <cdr:x>0.83688</cdr:x>
      <cdr:y>0.20871</cdr:y>
    </cdr:to>
    <cdr:sp macro="" textlink="">
      <cdr:nvSpPr>
        <cdr:cNvPr id="29" name="TextBox 1"/>
        <cdr:cNvSpPr txBox="1"/>
      </cdr:nvSpPr>
      <cdr:spPr>
        <a:xfrm xmlns:a="http://schemas.openxmlformats.org/drawingml/2006/main">
          <a:off x="3086313" y="617354"/>
          <a:ext cx="2222561" cy="47006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ZA" sz="1200" b="1"/>
            <a:t>Out</a:t>
          </a:r>
          <a:r>
            <a:rPr lang="en-ZA" sz="1200" b="1" baseline="0"/>
            <a:t> of limits - exceeding MAUW</a:t>
          </a:r>
          <a:endParaRPr lang="en-ZA" sz="1200" b="1"/>
        </a:p>
      </cdr:txBody>
    </cdr:sp>
  </cdr:relSizeAnchor>
</c:userShapes>
</file>

<file path=xl/drawings/drawing6.xml><?xml version="1.0" encoding="utf-8"?>
<xdr:wsDr xmlns:xdr="http://schemas.openxmlformats.org/drawingml/2006/spreadsheetDrawing" xmlns:a="http://schemas.openxmlformats.org/drawingml/2006/main">
  <xdr:twoCellAnchor>
    <xdr:from>
      <xdr:col>10</xdr:col>
      <xdr:colOff>152400</xdr:colOff>
      <xdr:row>0</xdr:row>
      <xdr:rowOff>266700</xdr:rowOff>
    </xdr:from>
    <xdr:to>
      <xdr:col>20</xdr:col>
      <xdr:colOff>0</xdr:colOff>
      <xdr:row>31</xdr:row>
      <xdr:rowOff>152400</xdr:rowOff>
    </xdr:to>
    <xdr:graphicFrame macro="">
      <xdr:nvGraphicFramePr>
        <xdr:cNvPr id="1957418" name="Chart 1">
          <a:extLst>
            <a:ext uri="{FF2B5EF4-FFF2-40B4-BE49-F238E27FC236}">
              <a16:creationId xmlns:a16="http://schemas.microsoft.com/office/drawing/2014/main" id="{00000000-0008-0000-0400-00002ADE1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1311275</xdr:colOff>
      <xdr:row>5</xdr:row>
      <xdr:rowOff>47626</xdr:rowOff>
    </xdr:from>
    <xdr:to>
      <xdr:col>8</xdr:col>
      <xdr:colOff>436535</xdr:colOff>
      <xdr:row>5</xdr:row>
      <xdr:rowOff>293162</xdr:rowOff>
    </xdr:to>
    <xdr:sp macro="" textlink="">
      <xdr:nvSpPr>
        <xdr:cNvPr id="3" name="Rectangular Callout 2">
          <a:extLst>
            <a:ext uri="{FF2B5EF4-FFF2-40B4-BE49-F238E27FC236}">
              <a16:creationId xmlns:a16="http://schemas.microsoft.com/office/drawing/2014/main" id="{00000000-0008-0000-0400-000003000000}"/>
            </a:ext>
          </a:extLst>
        </xdr:cNvPr>
        <xdr:cNvSpPr/>
      </xdr:nvSpPr>
      <xdr:spPr>
        <a:xfrm>
          <a:off x="2635250" y="933451"/>
          <a:ext cx="2211360" cy="245536"/>
        </a:xfrm>
        <a:prstGeom prst="wedgeRectCallout">
          <a:avLst>
            <a:gd name="adj1" fmla="val 20039"/>
            <a:gd name="adj2" fmla="val 103805"/>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en-ZA" sz="1100"/>
            <a:t>Enter</a:t>
          </a:r>
          <a:r>
            <a:rPr lang="en-ZA" sz="1100" baseline="0"/>
            <a:t> loading only in this column</a:t>
          </a:r>
          <a:endParaRPr lang="en-ZA" sz="1100"/>
        </a:p>
      </xdr:txBody>
    </xdr:sp>
    <xdr:clientData/>
  </xdr:twoCellAnchor>
  <xdr:twoCellAnchor editAs="oneCell">
    <xdr:from>
      <xdr:col>1</xdr:col>
      <xdr:colOff>85726</xdr:colOff>
      <xdr:row>0</xdr:row>
      <xdr:rowOff>38100</xdr:rowOff>
    </xdr:from>
    <xdr:to>
      <xdr:col>2</xdr:col>
      <xdr:colOff>533401</xdr:colOff>
      <xdr:row>3</xdr:row>
      <xdr:rowOff>8832</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1" y="38100"/>
          <a:ext cx="1066800" cy="494607"/>
        </a:xfrm>
        <a:prstGeom prst="rect">
          <a:avLst/>
        </a:prstGeom>
      </xdr:spPr>
    </xdr:pic>
    <xdr:clientData/>
  </xdr:twoCellAnchor>
  <xdr:twoCellAnchor>
    <xdr:from>
      <xdr:col>3</xdr:col>
      <xdr:colOff>209550</xdr:colOff>
      <xdr:row>0</xdr:row>
      <xdr:rowOff>85725</xdr:rowOff>
    </xdr:from>
    <xdr:to>
      <xdr:col>10</xdr:col>
      <xdr:colOff>38100</xdr:colOff>
      <xdr:row>2</xdr:row>
      <xdr:rowOff>19050</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2124075" y="85725"/>
          <a:ext cx="41338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600" b="1">
              <a:latin typeface="Arial" panose="020B0604020202020204" pitchFamily="34" charset="0"/>
              <a:cs typeface="Arial" panose="020B0604020202020204" pitchFamily="34" charset="0"/>
            </a:rPr>
            <a:t>Weight and Balance Calculator </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0.70528</cdr:x>
      <cdr:y>0.64326</cdr:y>
    </cdr:from>
    <cdr:to>
      <cdr:x>0.9102</cdr:x>
      <cdr:y>0.77259</cdr:y>
    </cdr:to>
    <cdr:sp macro="" textlink="">
      <cdr:nvSpPr>
        <cdr:cNvPr id="2" name="TextBox 1"/>
        <cdr:cNvSpPr txBox="1"/>
      </cdr:nvSpPr>
      <cdr:spPr>
        <a:xfrm xmlns:a="http://schemas.openxmlformats.org/drawingml/2006/main">
          <a:off x="4378852" y="3129335"/>
          <a:ext cx="1272276" cy="62916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ZA" sz="1400" b="1"/>
            <a:t>Out</a:t>
          </a:r>
          <a:r>
            <a:rPr lang="en-ZA" sz="1400" b="1" baseline="0"/>
            <a:t> of limits </a:t>
          </a:r>
        </a:p>
        <a:p xmlns:a="http://schemas.openxmlformats.org/drawingml/2006/main">
          <a:pPr algn="ctr"/>
          <a:r>
            <a:rPr lang="en-ZA" sz="1400" b="1" baseline="0"/>
            <a:t>(aft)</a:t>
          </a:r>
          <a:endParaRPr lang="en-ZA" sz="1400" b="1"/>
        </a:p>
      </cdr:txBody>
    </cdr:sp>
  </cdr:relSizeAnchor>
  <cdr:relSizeAnchor xmlns:cdr="http://schemas.openxmlformats.org/drawingml/2006/chartDrawing">
    <cdr:from>
      <cdr:x>0.11224</cdr:x>
      <cdr:y>0.32083</cdr:y>
    </cdr:from>
    <cdr:to>
      <cdr:x>0.30863</cdr:x>
      <cdr:y>0.40949</cdr:y>
    </cdr:to>
    <cdr:sp macro="" textlink="">
      <cdr:nvSpPr>
        <cdr:cNvPr id="7" name="TextBox 1"/>
        <cdr:cNvSpPr txBox="1"/>
      </cdr:nvSpPr>
      <cdr:spPr>
        <a:xfrm xmlns:a="http://schemas.openxmlformats.org/drawingml/2006/main">
          <a:off x="696845" y="1560776"/>
          <a:ext cx="1219316" cy="4313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ZA" sz="1400" b="1"/>
            <a:t>Out</a:t>
          </a:r>
          <a:r>
            <a:rPr lang="en-ZA" sz="1400" b="1" baseline="0"/>
            <a:t> of limits </a:t>
          </a:r>
        </a:p>
        <a:p xmlns:a="http://schemas.openxmlformats.org/drawingml/2006/main">
          <a:pPr algn="ctr"/>
          <a:r>
            <a:rPr lang="en-ZA" sz="1400" b="1" baseline="0"/>
            <a:t>(forward)</a:t>
          </a:r>
          <a:endParaRPr lang="en-ZA" sz="1400" b="1"/>
        </a:p>
      </cdr:txBody>
    </cdr:sp>
  </cdr:relSizeAnchor>
  <cdr:relSizeAnchor xmlns:cdr="http://schemas.openxmlformats.org/drawingml/2006/chartDrawing">
    <cdr:from>
      <cdr:x>0.58351</cdr:x>
      <cdr:y>0.1497</cdr:y>
    </cdr:from>
    <cdr:to>
      <cdr:x>0.93362</cdr:x>
      <cdr:y>0.2328</cdr:y>
    </cdr:to>
    <cdr:sp macro="" textlink="">
      <cdr:nvSpPr>
        <cdr:cNvPr id="11" name="TextBox 1"/>
        <cdr:cNvSpPr txBox="1"/>
      </cdr:nvSpPr>
      <cdr:spPr>
        <a:xfrm xmlns:a="http://schemas.openxmlformats.org/drawingml/2006/main">
          <a:off x="3622813" y="728261"/>
          <a:ext cx="2173708" cy="40426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ZA" sz="1200" b="1"/>
            <a:t>Out</a:t>
          </a:r>
          <a:r>
            <a:rPr lang="en-ZA" sz="1200" b="1" baseline="0"/>
            <a:t> of limits - exceeding MAUW</a:t>
          </a:r>
          <a:endParaRPr lang="en-ZA" sz="1200" b="1"/>
        </a:p>
      </cdr:txBody>
    </cdr:sp>
  </cdr:relSizeAnchor>
  <cdr:relSizeAnchor xmlns:cdr="http://schemas.openxmlformats.org/drawingml/2006/chartDrawing">
    <cdr:from>
      <cdr:x>0.50917</cdr:x>
      <cdr:y>0.55208</cdr:y>
    </cdr:from>
    <cdr:to>
      <cdr:x>0.74302</cdr:x>
      <cdr:y>0.6056</cdr:y>
    </cdr:to>
    <cdr:sp macro="" textlink="">
      <cdr:nvSpPr>
        <cdr:cNvPr id="12" name="TextBox 1"/>
        <cdr:cNvSpPr txBox="1"/>
      </cdr:nvSpPr>
      <cdr:spPr>
        <a:xfrm xmlns:a="http://schemas.openxmlformats.org/drawingml/2006/main" rot="19154266">
          <a:off x="3161271" y="2685776"/>
          <a:ext cx="1451848" cy="2603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ZA" sz="1200" b="1"/>
            <a:t>Aft Limit  - 398mm</a:t>
          </a:r>
        </a:p>
      </cdr:txBody>
    </cdr:sp>
  </cdr:relSizeAnchor>
  <cdr:relSizeAnchor xmlns:cdr="http://schemas.openxmlformats.org/drawingml/2006/chartDrawing">
    <cdr:from>
      <cdr:x>0.28054</cdr:x>
      <cdr:y>0.21895</cdr:y>
    </cdr:from>
    <cdr:to>
      <cdr:x>0.90454</cdr:x>
      <cdr:y>0.8037</cdr:y>
    </cdr:to>
    <cdr:sp macro="" textlink="">
      <cdr:nvSpPr>
        <cdr:cNvPr id="4" name="Freeform 3"/>
        <cdr:cNvSpPr/>
      </cdr:nvSpPr>
      <cdr:spPr>
        <a:xfrm xmlns:a="http://schemas.openxmlformats.org/drawingml/2006/main">
          <a:off x="1694139" y="1222102"/>
          <a:ext cx="3768242" cy="3263870"/>
        </a:xfrm>
        <a:custGeom xmlns:a="http://schemas.openxmlformats.org/drawingml/2006/main">
          <a:avLst/>
          <a:gdLst>
            <a:gd name="connsiteX0" fmla="*/ 2726872 w 3069772"/>
            <a:gd name="connsiteY0" fmla="*/ 5443 h 2830286"/>
            <a:gd name="connsiteX1" fmla="*/ 3069772 w 3069772"/>
            <a:gd name="connsiteY1" fmla="*/ 0 h 2830286"/>
            <a:gd name="connsiteX2" fmla="*/ 321129 w 3069772"/>
            <a:gd name="connsiteY2" fmla="*/ 2830286 h 2830286"/>
            <a:gd name="connsiteX3" fmla="*/ 0 w 3069772"/>
            <a:gd name="connsiteY3" fmla="*/ 2830286 h 2830286"/>
            <a:gd name="connsiteX4" fmla="*/ 2726872 w 3069772"/>
            <a:gd name="connsiteY4" fmla="*/ 5443 h 2830286"/>
            <a:gd name="connsiteX0" fmla="*/ 2726872 w 3069772"/>
            <a:gd name="connsiteY0" fmla="*/ 5443 h 2930855"/>
            <a:gd name="connsiteX1" fmla="*/ 3069772 w 3069772"/>
            <a:gd name="connsiteY1" fmla="*/ 0 h 2930855"/>
            <a:gd name="connsiteX2" fmla="*/ 315064 w 3069772"/>
            <a:gd name="connsiteY2" fmla="*/ 2930855 h 2930855"/>
            <a:gd name="connsiteX3" fmla="*/ 0 w 3069772"/>
            <a:gd name="connsiteY3" fmla="*/ 2830286 h 2930855"/>
            <a:gd name="connsiteX4" fmla="*/ 2726872 w 3069772"/>
            <a:gd name="connsiteY4" fmla="*/ 5443 h 2930855"/>
            <a:gd name="connsiteX0" fmla="*/ 2799658 w 3142558"/>
            <a:gd name="connsiteY0" fmla="*/ 5443 h 2930855"/>
            <a:gd name="connsiteX1" fmla="*/ 3142558 w 3142558"/>
            <a:gd name="connsiteY1" fmla="*/ 0 h 2930855"/>
            <a:gd name="connsiteX2" fmla="*/ 387850 w 3142558"/>
            <a:gd name="connsiteY2" fmla="*/ 2930855 h 2930855"/>
            <a:gd name="connsiteX3" fmla="*/ 0 w 3142558"/>
            <a:gd name="connsiteY3" fmla="*/ 2916489 h 2930855"/>
            <a:gd name="connsiteX4" fmla="*/ 2799658 w 3142558"/>
            <a:gd name="connsiteY4" fmla="*/ 5443 h 2930855"/>
            <a:gd name="connsiteX0" fmla="*/ 2757199 w 3142558"/>
            <a:gd name="connsiteY0" fmla="*/ 0 h 2939779"/>
            <a:gd name="connsiteX1" fmla="*/ 3142558 w 3142558"/>
            <a:gd name="connsiteY1" fmla="*/ 8924 h 2939779"/>
            <a:gd name="connsiteX2" fmla="*/ 387850 w 3142558"/>
            <a:gd name="connsiteY2" fmla="*/ 2939779 h 2939779"/>
            <a:gd name="connsiteX3" fmla="*/ 0 w 3142558"/>
            <a:gd name="connsiteY3" fmla="*/ 2925413 h 2939779"/>
            <a:gd name="connsiteX4" fmla="*/ 2757199 w 3142558"/>
            <a:gd name="connsiteY4" fmla="*/ 0 h 2939779"/>
            <a:gd name="connsiteX0" fmla="*/ 2757199 w 3134242"/>
            <a:gd name="connsiteY0" fmla="*/ 898 h 2940677"/>
            <a:gd name="connsiteX1" fmla="*/ 3134242 w 3134242"/>
            <a:gd name="connsiteY1" fmla="*/ 0 h 2940677"/>
            <a:gd name="connsiteX2" fmla="*/ 387850 w 3134242"/>
            <a:gd name="connsiteY2" fmla="*/ 2940677 h 2940677"/>
            <a:gd name="connsiteX3" fmla="*/ 0 w 3134242"/>
            <a:gd name="connsiteY3" fmla="*/ 2926311 h 2940677"/>
            <a:gd name="connsiteX4" fmla="*/ 2757199 w 3134242"/>
            <a:gd name="connsiteY4" fmla="*/ 898 h 2940677"/>
            <a:gd name="connsiteX0" fmla="*/ 2761358 w 3138401"/>
            <a:gd name="connsiteY0" fmla="*/ 898 h 2950868"/>
            <a:gd name="connsiteX1" fmla="*/ 3138401 w 3138401"/>
            <a:gd name="connsiteY1" fmla="*/ 0 h 2950868"/>
            <a:gd name="connsiteX2" fmla="*/ 392009 w 3138401"/>
            <a:gd name="connsiteY2" fmla="*/ 2940677 h 2950868"/>
            <a:gd name="connsiteX3" fmla="*/ 0 w 3138401"/>
            <a:gd name="connsiteY3" fmla="*/ 2950868 h 2950868"/>
            <a:gd name="connsiteX4" fmla="*/ 2761358 w 3138401"/>
            <a:gd name="connsiteY4" fmla="*/ 898 h 295086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38401" h="2950868">
              <a:moveTo>
                <a:pt x="2761358" y="898"/>
              </a:moveTo>
              <a:lnTo>
                <a:pt x="3138401" y="0"/>
              </a:lnTo>
              <a:lnTo>
                <a:pt x="392009" y="2940677"/>
              </a:lnTo>
              <a:lnTo>
                <a:pt x="0" y="2950868"/>
              </a:lnTo>
              <a:lnTo>
                <a:pt x="2761358" y="898"/>
              </a:lnTo>
              <a:close/>
            </a:path>
          </a:pathLst>
        </a:custGeom>
        <a:solidFill xmlns:a="http://schemas.openxmlformats.org/drawingml/2006/main">
          <a:srgbClr val="FFC000">
            <a:alpha val="19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ZA"/>
        </a:p>
      </cdr:txBody>
    </cdr:sp>
  </cdr:relSizeAnchor>
  <cdr:relSizeAnchor xmlns:cdr="http://schemas.openxmlformats.org/drawingml/2006/chartDrawing">
    <cdr:from>
      <cdr:x>0.31602</cdr:x>
      <cdr:y>0.41116</cdr:y>
    </cdr:from>
    <cdr:to>
      <cdr:x>0.47708</cdr:x>
      <cdr:y>0.46139</cdr:y>
    </cdr:to>
    <cdr:sp macro="" textlink="">
      <cdr:nvSpPr>
        <cdr:cNvPr id="13" name="TextBox 1"/>
        <cdr:cNvSpPr txBox="1"/>
      </cdr:nvSpPr>
      <cdr:spPr>
        <a:xfrm xmlns:a="http://schemas.openxmlformats.org/drawingml/2006/main" rot="19310496">
          <a:off x="1962057" y="2000194"/>
          <a:ext cx="999965" cy="2443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ZA" sz="1200" b="1"/>
            <a:t>Forward Limit  </a:t>
          </a:r>
        </a:p>
      </cdr:txBody>
    </cdr:sp>
  </cdr:relSizeAnchor>
  <cdr:relSizeAnchor xmlns:cdr="http://schemas.openxmlformats.org/drawingml/2006/chartDrawing">
    <cdr:from>
      <cdr:x>0.14669</cdr:x>
      <cdr:y>0.64382</cdr:y>
    </cdr:from>
    <cdr:to>
      <cdr:x>0.18745</cdr:x>
      <cdr:y>0.7704</cdr:y>
    </cdr:to>
    <cdr:sp macro="" textlink="">
      <cdr:nvSpPr>
        <cdr:cNvPr id="9" name="TextBox 1"/>
        <cdr:cNvSpPr txBox="1"/>
      </cdr:nvSpPr>
      <cdr:spPr>
        <a:xfrm xmlns:a="http://schemas.openxmlformats.org/drawingml/2006/main" rot="18624495">
          <a:off x="729421" y="3313401"/>
          <a:ext cx="615773" cy="25306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ZA" sz="1200" b="1"/>
            <a:t>270mm</a:t>
          </a:r>
        </a:p>
      </cdr:txBody>
    </cdr:sp>
  </cdr:relSizeAnchor>
  <cdr:relSizeAnchor xmlns:cdr="http://schemas.openxmlformats.org/drawingml/2006/chartDrawing">
    <cdr:from>
      <cdr:x>0.47759</cdr:x>
      <cdr:y>0.51689</cdr:y>
    </cdr:from>
    <cdr:to>
      <cdr:x>0.63724</cdr:x>
      <cdr:y>0.56787</cdr:y>
    </cdr:to>
    <cdr:sp macro="" textlink="">
      <cdr:nvSpPr>
        <cdr:cNvPr id="10" name="TextBox 1"/>
        <cdr:cNvSpPr txBox="1"/>
      </cdr:nvSpPr>
      <cdr:spPr>
        <a:xfrm xmlns:a="http://schemas.openxmlformats.org/drawingml/2006/main" rot="19217405">
          <a:off x="2965163" y="2514568"/>
          <a:ext cx="991210" cy="24800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ZA" sz="1200" b="1">
              <a:solidFill>
                <a:srgbClr val="FFC000"/>
              </a:solidFill>
            </a:rPr>
            <a:t>Caution Zone</a:t>
          </a:r>
        </a:p>
      </cdr:txBody>
    </cdr:sp>
  </cdr:relSizeAnchor>
  <cdr:relSizeAnchor xmlns:cdr="http://schemas.openxmlformats.org/drawingml/2006/chartDrawing">
    <cdr:from>
      <cdr:x>0.29002</cdr:x>
      <cdr:y>0.21753</cdr:y>
    </cdr:from>
    <cdr:to>
      <cdr:x>0.64013</cdr:x>
      <cdr:y>0.30063</cdr:y>
    </cdr:to>
    <cdr:sp macro="" textlink="">
      <cdr:nvSpPr>
        <cdr:cNvPr id="14" name="TextBox 1"/>
        <cdr:cNvSpPr txBox="1"/>
      </cdr:nvSpPr>
      <cdr:spPr>
        <a:xfrm xmlns:a="http://schemas.openxmlformats.org/drawingml/2006/main">
          <a:off x="1812144" y="1234898"/>
          <a:ext cx="2187628" cy="4717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ZA" sz="1200" b="1"/>
            <a:t>Out</a:t>
          </a:r>
          <a:r>
            <a:rPr lang="en-ZA" sz="1200" b="1" baseline="0"/>
            <a:t> of limits - take-off</a:t>
          </a:r>
        </a:p>
        <a:p xmlns:a="http://schemas.openxmlformats.org/drawingml/2006/main">
          <a:pPr algn="ctr"/>
          <a:r>
            <a:rPr lang="en-ZA" sz="1200" b="1" baseline="0"/>
            <a:t>(dual battery)</a:t>
          </a:r>
          <a:endParaRPr lang="en-ZA" sz="1200" b="1"/>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17</xdr:col>
      <xdr:colOff>41672</xdr:colOff>
      <xdr:row>0</xdr:row>
      <xdr:rowOff>0</xdr:rowOff>
    </xdr:from>
    <xdr:to>
      <xdr:col>25</xdr:col>
      <xdr:colOff>260747</xdr:colOff>
      <xdr:row>26</xdr:row>
      <xdr:rowOff>133350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15438" y="0"/>
          <a:ext cx="5076825" cy="5068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133350</xdr:colOff>
      <xdr:row>15</xdr:row>
      <xdr:rowOff>9525</xdr:rowOff>
    </xdr:from>
    <xdr:to>
      <xdr:col>6</xdr:col>
      <xdr:colOff>19050</xdr:colOff>
      <xdr:row>32</xdr:row>
      <xdr:rowOff>85725</xdr:rowOff>
    </xdr:to>
    <xdr:graphicFrame macro="">
      <xdr:nvGraphicFramePr>
        <xdr:cNvPr id="2" name="Chart 2">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S3/AP%20JS-094%20JS3%20RES%20Weight%20and%20Balance%20Calculator%20v13%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S3/1.%20JS%20Working%20Directory/2.%20MANUALS%20AND%20DESIGN%20DOCS/3.%20W&amp;B/AP.JS-065%20JS3%20Weight%20and%20Balance%20Calculator%20v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y Form"/>
      <sheetName val="W&amp;B Report Imperial"/>
      <sheetName val="W&amp;B Report Metric"/>
      <sheetName val="JS3 15m CG Envelope"/>
      <sheetName val="JS3 18m CG Envelope"/>
      <sheetName val="Config"/>
      <sheetName val="Revision History"/>
      <sheetName val="Chart1"/>
      <sheetName val="Main Water Ballast"/>
      <sheetName val="Tail Water Ballast"/>
      <sheetName val="Non-expendable tail tank"/>
      <sheetName val="Nose Ballast"/>
      <sheetName val="Nose Ballast (2)"/>
      <sheetName val="Non-expendable tail tank (2)"/>
      <sheetName val="Sheet2"/>
      <sheetName val="Sheet1"/>
    </sheetNames>
    <sheetDataSet>
      <sheetData sheetId="0"/>
      <sheetData sheetId="1"/>
      <sheetData sheetId="2"/>
      <sheetData sheetId="3"/>
      <sheetData sheetId="4"/>
      <sheetData sheetId="5">
        <row r="13">
          <cell r="D13">
            <v>4285</v>
          </cell>
        </row>
        <row r="38">
          <cell r="B38">
            <v>3</v>
          </cell>
        </row>
      </sheetData>
      <sheetData sheetId="6"/>
      <sheetData sheetId="7" refreshError="1"/>
      <sheetData sheetId="8">
        <row r="35">
          <cell r="E35" t="str">
            <v>W_Tail_132</v>
          </cell>
        </row>
      </sheetData>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y Form"/>
      <sheetName val="W&amp;B Report Imperial"/>
      <sheetName val="W&amp;B Report Metric"/>
      <sheetName val="JS3 15m CG Envelope"/>
      <sheetName val="JS3 18m CG Envelope"/>
      <sheetName val="Config"/>
      <sheetName val="Revision History"/>
      <sheetName val="Main Water Ballast"/>
      <sheetName val="Tail Water Ballast"/>
      <sheetName val="Non-expendable tail tank"/>
      <sheetName val="Nose Ballast"/>
      <sheetName val="Sheet2"/>
      <sheetName val="Sheet1"/>
    </sheetNames>
    <sheetDataSet>
      <sheetData sheetId="0"/>
      <sheetData sheetId="1"/>
      <sheetData sheetId="2"/>
      <sheetData sheetId="3"/>
      <sheetData sheetId="4"/>
      <sheetData sheetId="5">
        <row r="36">
          <cell r="B36" t="e">
            <v>#N/A</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17.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IY94"/>
  <sheetViews>
    <sheetView tabSelected="1" showWhiteSpace="0" topLeftCell="A34" zoomScaleNormal="100" zoomScaleSheetLayoutView="100" workbookViewId="0">
      <selection activeCell="O50" sqref="O50:O51"/>
    </sheetView>
  </sheetViews>
  <sheetFormatPr baseColWidth="10" defaultColWidth="0" defaultRowHeight="12.75" zeroHeight="1" x14ac:dyDescent="0.2"/>
  <cols>
    <col min="1" max="1" width="1.5703125" style="24" customWidth="1"/>
    <col min="2" max="2" width="8.5703125" style="23" customWidth="1"/>
    <col min="3" max="3" width="8.5703125" style="24" customWidth="1"/>
    <col min="4" max="4" width="11" style="24" customWidth="1"/>
    <col min="5" max="5" width="7.7109375" style="24" customWidth="1"/>
    <col min="6" max="6" width="8.7109375" style="24" customWidth="1"/>
    <col min="7" max="8" width="8.42578125" style="24" customWidth="1"/>
    <col min="9" max="9" width="0.7109375" style="24" customWidth="1"/>
    <col min="10" max="10" width="8.42578125" style="24" customWidth="1"/>
    <col min="11" max="11" width="7.7109375" style="24" customWidth="1"/>
    <col min="12" max="12" width="0.7109375" style="24" customWidth="1"/>
    <col min="13" max="14" width="15" style="24" customWidth="1"/>
    <col min="15" max="15" width="15.42578125" style="25" customWidth="1"/>
    <col min="16" max="16" width="0.5703125" customWidth="1"/>
    <col min="17" max="258" width="25.28515625" hidden="1" customWidth="1"/>
    <col min="259" max="259" width="3.28515625" style="24" hidden="1" customWidth="1"/>
    <col min="260" max="16384" width="0.28515625" style="24" hidden="1"/>
  </cols>
  <sheetData>
    <row r="1" spans="1:258" s="21" customFormat="1" x14ac:dyDescent="0.2">
      <c r="A1" s="20"/>
      <c r="B1" s="20"/>
      <c r="D1" s="101" t="s">
        <v>166</v>
      </c>
      <c r="E1" s="22"/>
      <c r="F1" s="203" t="s">
        <v>2</v>
      </c>
      <c r="G1" s="204"/>
      <c r="H1" s="204"/>
      <c r="I1" s="660" t="s">
        <v>311</v>
      </c>
      <c r="J1" s="661"/>
      <c r="K1" s="661"/>
      <c r="L1" s="661"/>
      <c r="M1" s="661"/>
      <c r="N1" s="661"/>
      <c r="O1" s="662"/>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row>
    <row r="2" spans="1:258" ht="12.75" customHeight="1" x14ac:dyDescent="0.2">
      <c r="A2" s="23"/>
      <c r="E2" s="25"/>
      <c r="F2" s="205" t="s">
        <v>167</v>
      </c>
      <c r="G2" s="206"/>
      <c r="H2" s="206"/>
      <c r="I2" s="674" t="str">
        <f>"Issue: RES v"&amp;(MAX('Revision History'!A17:A100))</f>
        <v>Issue: RES v23</v>
      </c>
      <c r="J2" s="675"/>
      <c r="K2" s="675"/>
      <c r="L2" s="675"/>
      <c r="M2" s="675"/>
      <c r="N2" s="675"/>
      <c r="O2" s="676"/>
    </row>
    <row r="3" spans="1:258" ht="18" customHeight="1" thickBot="1" x14ac:dyDescent="0.25">
      <c r="A3" s="23"/>
      <c r="B3" s="31"/>
      <c r="C3" s="32"/>
      <c r="D3" s="32"/>
      <c r="E3" s="34"/>
      <c r="F3" s="31"/>
      <c r="G3" s="32"/>
      <c r="H3" s="32"/>
      <c r="I3" s="677"/>
      <c r="J3" s="678"/>
      <c r="K3" s="678"/>
      <c r="L3" s="678"/>
      <c r="M3" s="678"/>
      <c r="N3" s="678"/>
      <c r="O3" s="679"/>
    </row>
    <row r="4" spans="1:258" ht="14.25" customHeight="1" x14ac:dyDescent="0.2">
      <c r="A4" s="23"/>
      <c r="D4" s="176"/>
      <c r="F4" s="39"/>
      <c r="I4" s="663" t="s">
        <v>3</v>
      </c>
      <c r="J4" s="663"/>
      <c r="K4" s="663"/>
      <c r="L4" s="663"/>
      <c r="M4" s="663"/>
      <c r="N4" s="663"/>
      <c r="O4" s="664"/>
    </row>
    <row r="5" spans="1:258" ht="13.5" customHeight="1" x14ac:dyDescent="0.2">
      <c r="A5" s="23"/>
      <c r="I5" s="663" t="s">
        <v>293</v>
      </c>
      <c r="J5" s="663"/>
      <c r="K5" s="663"/>
      <c r="L5" s="663"/>
      <c r="M5" s="663"/>
      <c r="N5" s="663"/>
      <c r="O5" s="664"/>
    </row>
    <row r="6" spans="1:258" ht="26.25" customHeight="1" x14ac:dyDescent="0.2">
      <c r="A6" s="23"/>
      <c r="B6" s="685" t="s">
        <v>354</v>
      </c>
      <c r="C6" s="686"/>
      <c r="D6" s="687"/>
      <c r="E6" s="680" t="s">
        <v>383</v>
      </c>
      <c r="F6" s="681"/>
      <c r="G6" s="682" t="s">
        <v>353</v>
      </c>
      <c r="H6" s="683"/>
      <c r="I6" s="683"/>
      <c r="J6" s="684"/>
      <c r="K6" s="680" t="s">
        <v>384</v>
      </c>
      <c r="L6" s="681"/>
      <c r="M6" s="576"/>
      <c r="N6" s="429" t="s">
        <v>176</v>
      </c>
      <c r="O6" s="448" t="s">
        <v>181</v>
      </c>
    </row>
    <row r="7" spans="1:258" ht="8.25" customHeight="1" thickBot="1" x14ac:dyDescent="0.25">
      <c r="A7" s="23"/>
      <c r="B7" s="202"/>
      <c r="C7" s="45"/>
      <c r="D7" s="45"/>
      <c r="E7" s="45"/>
      <c r="F7" s="45"/>
      <c r="G7" s="45"/>
      <c r="H7" s="45"/>
      <c r="I7" s="45"/>
      <c r="J7" s="45"/>
      <c r="K7" s="45"/>
      <c r="L7" s="45"/>
      <c r="M7" s="45"/>
      <c r="N7" s="45"/>
      <c r="O7" s="35"/>
    </row>
    <row r="8" spans="1:258" ht="15.75" x14ac:dyDescent="0.25">
      <c r="A8" s="23"/>
      <c r="B8" s="28" t="s">
        <v>4</v>
      </c>
      <c r="C8" s="40"/>
      <c r="D8" s="29"/>
      <c r="E8" s="21"/>
      <c r="F8" s="30" t="s">
        <v>5</v>
      </c>
      <c r="G8" s="30"/>
      <c r="H8" s="30"/>
      <c r="I8" s="30"/>
      <c r="J8" s="30"/>
      <c r="K8" s="201"/>
      <c r="L8" s="201"/>
      <c r="M8" s="21"/>
      <c r="N8" s="21"/>
      <c r="O8" s="22"/>
    </row>
    <row r="9" spans="1:258" ht="13.5" thickBot="1" x14ac:dyDescent="0.25">
      <c r="A9" s="23"/>
      <c r="B9" s="31"/>
      <c r="C9" s="32"/>
      <c r="D9" s="32"/>
      <c r="E9" s="32"/>
      <c r="F9" s="33" t="s">
        <v>140</v>
      </c>
      <c r="G9" s="33"/>
      <c r="H9" s="33"/>
      <c r="I9" s="33"/>
      <c r="J9" s="33"/>
      <c r="K9" s="41"/>
      <c r="L9" s="41"/>
      <c r="M9" s="32"/>
      <c r="N9" s="32"/>
      <c r="O9" s="34"/>
    </row>
    <row r="10" spans="1:258" ht="15.75" x14ac:dyDescent="0.25">
      <c r="A10" s="23"/>
      <c r="B10" s="36" t="s">
        <v>200</v>
      </c>
      <c r="C10" s="37"/>
    </row>
    <row r="11" spans="1:258" ht="249.75" customHeight="1" thickBot="1" x14ac:dyDescent="0.25">
      <c r="A11" s="23"/>
    </row>
    <row r="12" spans="1:258" ht="17.25" customHeight="1" x14ac:dyDescent="0.2">
      <c r="A12" s="23"/>
      <c r="B12" s="665" t="s">
        <v>6</v>
      </c>
      <c r="C12" s="666"/>
      <c r="D12" s="666"/>
      <c r="E12" s="666"/>
      <c r="F12" s="666"/>
      <c r="G12" s="666"/>
      <c r="H12" s="666"/>
      <c r="I12" s="666"/>
      <c r="J12" s="666"/>
      <c r="K12" s="667"/>
      <c r="M12" s="665" t="s">
        <v>47</v>
      </c>
      <c r="N12" s="666"/>
      <c r="O12" s="667"/>
    </row>
    <row r="13" spans="1:258" ht="14.25" x14ac:dyDescent="0.2">
      <c r="A13" s="23"/>
      <c r="B13" s="671" t="s">
        <v>107</v>
      </c>
      <c r="C13" s="672"/>
      <c r="D13" s="672"/>
      <c r="E13" s="672"/>
      <c r="F13" s="672"/>
      <c r="G13" s="672"/>
      <c r="H13" s="672"/>
      <c r="I13" s="672"/>
      <c r="J13" s="672"/>
      <c r="K13" s="673"/>
      <c r="M13" s="549" t="s">
        <v>253</v>
      </c>
      <c r="N13" s="550"/>
      <c r="O13" s="450" t="s">
        <v>364</v>
      </c>
    </row>
    <row r="14" spans="1:258" ht="14.25" x14ac:dyDescent="0.2">
      <c r="A14" s="23"/>
      <c r="B14" s="668" t="s">
        <v>108</v>
      </c>
      <c r="C14" s="669"/>
      <c r="D14" s="669"/>
      <c r="E14" s="669"/>
      <c r="F14" s="669"/>
      <c r="G14" s="669"/>
      <c r="H14" s="669"/>
      <c r="I14" s="669"/>
      <c r="J14" s="669"/>
      <c r="K14" s="670"/>
      <c r="M14" s="549" t="s">
        <v>141</v>
      </c>
      <c r="N14" s="550"/>
      <c r="O14" s="449" t="s">
        <v>355</v>
      </c>
    </row>
    <row r="15" spans="1:258" ht="14.25" x14ac:dyDescent="0.2">
      <c r="A15" s="23"/>
      <c r="B15" s="668" t="s">
        <v>109</v>
      </c>
      <c r="C15" s="669"/>
      <c r="D15" s="669"/>
      <c r="E15" s="669"/>
      <c r="F15" s="669"/>
      <c r="G15" s="669"/>
      <c r="H15" s="669"/>
      <c r="I15" s="669"/>
      <c r="J15" s="669"/>
      <c r="K15" s="670"/>
      <c r="M15" s="549" t="s">
        <v>142</v>
      </c>
      <c r="N15" s="550"/>
      <c r="O15" s="451" t="s">
        <v>365</v>
      </c>
    </row>
    <row r="16" spans="1:258" ht="14.25" x14ac:dyDescent="0.2">
      <c r="A16" s="23"/>
      <c r="B16" s="118" t="s">
        <v>110</v>
      </c>
      <c r="K16" s="25"/>
      <c r="M16" s="549" t="s">
        <v>49</v>
      </c>
      <c r="N16" s="550"/>
      <c r="O16" s="450" t="s">
        <v>364</v>
      </c>
    </row>
    <row r="17" spans="1:15" ht="14.25" x14ac:dyDescent="0.2">
      <c r="A17" s="23"/>
      <c r="B17" s="668" t="s">
        <v>111</v>
      </c>
      <c r="C17" s="669"/>
      <c r="D17" s="669"/>
      <c r="E17" s="669"/>
      <c r="F17" s="669"/>
      <c r="G17" s="669"/>
      <c r="H17" s="669"/>
      <c r="I17" s="669"/>
      <c r="J17" s="669"/>
      <c r="K17" s="670"/>
      <c r="M17" s="549" t="s">
        <v>143</v>
      </c>
      <c r="N17" s="550"/>
      <c r="O17" s="449" t="s">
        <v>357</v>
      </c>
    </row>
    <row r="18" spans="1:15" ht="14.25" x14ac:dyDescent="0.2">
      <c r="A18" s="23"/>
      <c r="B18" s="431" t="s">
        <v>112</v>
      </c>
      <c r="C18" s="432"/>
      <c r="D18" s="432"/>
      <c r="E18" s="432"/>
      <c r="F18" s="432"/>
      <c r="G18" s="432"/>
      <c r="H18" s="432"/>
      <c r="I18" s="432"/>
      <c r="J18" s="432"/>
      <c r="K18" s="433"/>
      <c r="M18" s="549" t="s">
        <v>50</v>
      </c>
      <c r="N18" s="550"/>
      <c r="O18" s="450" t="s">
        <v>364</v>
      </c>
    </row>
    <row r="19" spans="1:15" ht="14.25" x14ac:dyDescent="0.2">
      <c r="A19" s="23"/>
      <c r="B19" s="431" t="s">
        <v>20</v>
      </c>
      <c r="C19" s="432"/>
      <c r="D19" s="432"/>
      <c r="E19" s="432"/>
      <c r="F19" s="432"/>
      <c r="G19" s="432"/>
      <c r="H19" s="432"/>
      <c r="I19" s="432"/>
      <c r="J19" s="432"/>
      <c r="K19" s="433"/>
      <c r="M19" s="549" t="s">
        <v>51</v>
      </c>
      <c r="N19" s="550"/>
      <c r="O19" s="450" t="s">
        <v>356</v>
      </c>
    </row>
    <row r="20" spans="1:15" ht="14.25" x14ac:dyDescent="0.2">
      <c r="A20" s="23"/>
      <c r="B20" s="431" t="s">
        <v>170</v>
      </c>
      <c r="C20" s="432"/>
      <c r="D20" s="432"/>
      <c r="E20" s="432"/>
      <c r="F20" s="432"/>
      <c r="G20" s="432"/>
      <c r="H20" s="432"/>
      <c r="I20" s="432"/>
      <c r="J20" s="432"/>
      <c r="K20" s="433"/>
      <c r="M20" s="549" t="s">
        <v>52</v>
      </c>
      <c r="N20" s="550"/>
      <c r="O20" s="450" t="s">
        <v>356</v>
      </c>
    </row>
    <row r="21" spans="1:15" ht="14.25" x14ac:dyDescent="0.2">
      <c r="A21" s="23"/>
      <c r="B21" s="431" t="s">
        <v>171</v>
      </c>
      <c r="C21" s="432"/>
      <c r="D21" s="432"/>
      <c r="E21" s="432"/>
      <c r="F21" s="432"/>
      <c r="G21" s="432"/>
      <c r="H21" s="432"/>
      <c r="I21" s="432"/>
      <c r="J21" s="432"/>
      <c r="K21" s="433"/>
      <c r="M21" s="549" t="s">
        <v>53</v>
      </c>
      <c r="N21" s="550"/>
      <c r="O21" s="450" t="s">
        <v>356</v>
      </c>
    </row>
    <row r="22" spans="1:15" ht="14.25" x14ac:dyDescent="0.2">
      <c r="A22" s="23"/>
      <c r="B22" s="431" t="s">
        <v>172</v>
      </c>
      <c r="C22" s="432"/>
      <c r="D22" s="432"/>
      <c r="E22" s="432"/>
      <c r="F22" s="432"/>
      <c r="G22" s="432"/>
      <c r="H22" s="432"/>
      <c r="I22" s="432"/>
      <c r="J22" s="432"/>
      <c r="K22" s="433"/>
      <c r="M22" s="551" t="s">
        <v>254</v>
      </c>
      <c r="N22" s="548"/>
      <c r="O22" s="450" t="s">
        <v>366</v>
      </c>
    </row>
    <row r="23" spans="1:15" ht="14.25" x14ac:dyDescent="0.2">
      <c r="A23" s="23"/>
      <c r="B23" s="431" t="s">
        <v>173</v>
      </c>
      <c r="C23" s="432"/>
      <c r="D23" s="432"/>
      <c r="E23" s="432"/>
      <c r="F23" s="432"/>
      <c r="G23" s="432"/>
      <c r="H23" s="432"/>
      <c r="I23" s="432"/>
      <c r="J23" s="432"/>
      <c r="K23" s="433"/>
      <c r="M23" s="551" t="s">
        <v>255</v>
      </c>
      <c r="N23" s="548"/>
      <c r="O23" s="450" t="s">
        <v>366</v>
      </c>
    </row>
    <row r="24" spans="1:15" ht="15" thickBot="1" x14ac:dyDescent="0.25">
      <c r="A24" s="23"/>
      <c r="B24" s="614" t="s">
        <v>174</v>
      </c>
      <c r="C24" s="615"/>
      <c r="D24" s="615"/>
      <c r="E24" s="615"/>
      <c r="F24" s="615"/>
      <c r="G24" s="615"/>
      <c r="H24" s="615"/>
      <c r="I24" s="615"/>
      <c r="J24" s="615"/>
      <c r="K24" s="616"/>
      <c r="M24" s="547" t="s">
        <v>175</v>
      </c>
      <c r="N24" s="548"/>
      <c r="O24" s="455">
        <v>4.43</v>
      </c>
    </row>
    <row r="25" spans="1:15" x14ac:dyDescent="0.2">
      <c r="A25" s="23"/>
      <c r="M25" s="456" t="s">
        <v>367</v>
      </c>
      <c r="N25" s="457" t="s">
        <v>375</v>
      </c>
      <c r="O25" s="455"/>
    </row>
    <row r="26" spans="1:15" ht="14.25" customHeight="1" thickBot="1" x14ac:dyDescent="0.25">
      <c r="A26" s="23"/>
      <c r="L26" s="38"/>
    </row>
    <row r="27" spans="1:15" ht="14.25" x14ac:dyDescent="0.2">
      <c r="A27" s="23"/>
      <c r="B27" s="618" t="s">
        <v>55</v>
      </c>
      <c r="C27" s="639"/>
      <c r="D27" s="639"/>
      <c r="E27" s="639"/>
      <c r="F27" s="639"/>
      <c r="G27" s="639"/>
      <c r="H27" s="639"/>
      <c r="I27" s="639"/>
      <c r="J27" s="639"/>
      <c r="K27" s="619"/>
      <c r="L27" s="38"/>
      <c r="M27" s="541" t="s">
        <v>58</v>
      </c>
      <c r="N27" s="542"/>
      <c r="O27" s="543"/>
    </row>
    <row r="28" spans="1:15" ht="15" x14ac:dyDescent="0.25">
      <c r="A28" s="23"/>
      <c r="B28" s="211" t="s">
        <v>56</v>
      </c>
      <c r="C28" s="538" t="s">
        <v>99</v>
      </c>
      <c r="D28" s="539"/>
      <c r="E28" s="540"/>
      <c r="F28" s="538" t="s">
        <v>100</v>
      </c>
      <c r="G28" s="539"/>
      <c r="H28" s="540"/>
      <c r="I28" s="568" t="s">
        <v>57</v>
      </c>
      <c r="J28" s="568"/>
      <c r="K28" s="620"/>
      <c r="L28" s="38"/>
      <c r="M28" s="544"/>
      <c r="N28" s="545"/>
      <c r="O28" s="546"/>
    </row>
    <row r="29" spans="1:15" ht="14.25" customHeight="1" x14ac:dyDescent="0.2">
      <c r="A29" s="23"/>
      <c r="B29" s="617">
        <v>1</v>
      </c>
      <c r="C29" s="644"/>
      <c r="D29" s="644"/>
      <c r="E29" s="644"/>
      <c r="F29" s="643"/>
      <c r="G29" s="644"/>
      <c r="H29" s="644"/>
      <c r="I29" s="644"/>
      <c r="J29" s="644"/>
      <c r="K29" s="644"/>
      <c r="L29" s="38"/>
      <c r="M29" s="632" t="s">
        <v>48</v>
      </c>
      <c r="N29" s="634"/>
      <c r="O29" s="640" t="s">
        <v>59</v>
      </c>
    </row>
    <row r="30" spans="1:15" ht="14.25" customHeight="1" x14ac:dyDescent="0.2">
      <c r="A30" s="23"/>
      <c r="B30" s="617"/>
      <c r="C30" s="644"/>
      <c r="D30" s="644"/>
      <c r="E30" s="644"/>
      <c r="F30" s="644"/>
      <c r="G30" s="644"/>
      <c r="H30" s="644"/>
      <c r="I30" s="644"/>
      <c r="J30" s="644"/>
      <c r="K30" s="644"/>
      <c r="L30" s="38"/>
      <c r="M30" s="544"/>
      <c r="N30" s="642"/>
      <c r="O30" s="641"/>
    </row>
    <row r="31" spans="1:15" ht="14.25" customHeight="1" x14ac:dyDescent="0.2">
      <c r="A31" s="23"/>
      <c r="B31" s="623">
        <v>2</v>
      </c>
      <c r="C31" s="644"/>
      <c r="D31" s="644"/>
      <c r="E31" s="644"/>
      <c r="F31" s="643"/>
      <c r="G31" s="644"/>
      <c r="H31" s="644"/>
      <c r="I31" s="644"/>
      <c r="J31" s="644"/>
      <c r="K31" s="644"/>
      <c r="L31" s="38"/>
      <c r="M31" s="587" t="s">
        <v>7</v>
      </c>
      <c r="N31" s="588"/>
      <c r="O31" s="649">
        <v>67.099999999999994</v>
      </c>
    </row>
    <row r="32" spans="1:15" ht="14.25" customHeight="1" thickBot="1" x14ac:dyDescent="0.25">
      <c r="A32" s="23"/>
      <c r="B32" s="624"/>
      <c r="C32" s="644"/>
      <c r="D32" s="644"/>
      <c r="E32" s="644"/>
      <c r="F32" s="644"/>
      <c r="G32" s="644"/>
      <c r="H32" s="644"/>
      <c r="I32" s="644"/>
      <c r="J32" s="644"/>
      <c r="K32" s="644"/>
      <c r="L32" s="38"/>
      <c r="M32" s="589"/>
      <c r="N32" s="590"/>
      <c r="O32" s="650"/>
    </row>
    <row r="33" spans="1:15" ht="14.25" customHeight="1" thickBot="1" x14ac:dyDescent="0.25">
      <c r="A33" s="23"/>
      <c r="B33" s="61"/>
      <c r="C33" s="62"/>
      <c r="D33" s="62"/>
      <c r="E33" s="62"/>
      <c r="F33" s="63"/>
      <c r="G33" s="63"/>
      <c r="H33" s="63"/>
      <c r="I33" s="63"/>
      <c r="J33" s="63"/>
      <c r="K33" s="63"/>
      <c r="L33" s="38"/>
      <c r="M33" s="587" t="s">
        <v>8</v>
      </c>
      <c r="N33" s="588"/>
      <c r="O33" s="649">
        <v>66.849999999999994</v>
      </c>
    </row>
    <row r="34" spans="1:15" ht="14.25" customHeight="1" x14ac:dyDescent="0.2">
      <c r="A34" s="210"/>
      <c r="B34" s="625" t="s">
        <v>89</v>
      </c>
      <c r="C34" s="574"/>
      <c r="D34" s="574"/>
      <c r="E34" s="574"/>
      <c r="F34" s="574"/>
      <c r="G34" s="574" t="s">
        <v>123</v>
      </c>
      <c r="H34" s="566" t="s">
        <v>69</v>
      </c>
      <c r="J34" s="618" t="s">
        <v>74</v>
      </c>
      <c r="K34" s="619"/>
      <c r="L34" s="38"/>
      <c r="M34" s="589"/>
      <c r="N34" s="590"/>
      <c r="O34" s="650"/>
    </row>
    <row r="35" spans="1:15" ht="14.25" customHeight="1" x14ac:dyDescent="0.2">
      <c r="A35" s="210"/>
      <c r="B35" s="626"/>
      <c r="C35" s="575"/>
      <c r="D35" s="575"/>
      <c r="E35" s="575"/>
      <c r="F35" s="575"/>
      <c r="G35" s="575"/>
      <c r="H35" s="567"/>
      <c r="J35" s="578"/>
      <c r="K35" s="620"/>
      <c r="L35" s="38"/>
      <c r="M35" s="587" t="s">
        <v>124</v>
      </c>
      <c r="N35" s="588"/>
      <c r="O35" s="649">
        <v>5.35</v>
      </c>
    </row>
    <row r="36" spans="1:15" ht="14.25" customHeight="1" x14ac:dyDescent="0.2">
      <c r="A36" s="210"/>
      <c r="B36" s="626"/>
      <c r="C36" s="575"/>
      <c r="D36" s="575"/>
      <c r="E36" s="575"/>
      <c r="F36" s="575"/>
      <c r="G36" s="575"/>
      <c r="H36" s="567"/>
      <c r="J36" s="578"/>
      <c r="K36" s="620"/>
      <c r="M36" s="589"/>
      <c r="N36" s="590"/>
      <c r="O36" s="650"/>
    </row>
    <row r="37" spans="1:15" ht="26.25" customHeight="1" x14ac:dyDescent="0.2">
      <c r="A37" s="23"/>
      <c r="B37" s="632" t="s">
        <v>9</v>
      </c>
      <c r="C37" s="633"/>
      <c r="D37" s="633"/>
      <c r="E37" s="634"/>
      <c r="F37" s="214" t="s">
        <v>10</v>
      </c>
      <c r="G37" s="452">
        <v>292.39999999999998</v>
      </c>
      <c r="H37" s="453">
        <v>312.39999999999998</v>
      </c>
      <c r="J37" s="428" t="s">
        <v>76</v>
      </c>
      <c r="K37" s="518">
        <v>4441</v>
      </c>
      <c r="M37" s="587" t="s">
        <v>125</v>
      </c>
      <c r="N37" s="588"/>
      <c r="O37" s="454">
        <v>5.3</v>
      </c>
    </row>
    <row r="38" spans="1:15" ht="24" customHeight="1" x14ac:dyDescent="0.2">
      <c r="A38" s="23"/>
      <c r="B38" s="578" t="s">
        <v>11</v>
      </c>
      <c r="C38" s="568"/>
      <c r="D38" s="568"/>
      <c r="E38" s="568"/>
      <c r="F38" s="429" t="s">
        <v>12</v>
      </c>
      <c r="G38" s="452">
        <v>34.799999999999997</v>
      </c>
      <c r="H38" s="453">
        <v>36.51</v>
      </c>
      <c r="J38" s="428" t="s">
        <v>88</v>
      </c>
      <c r="K38" s="519">
        <v>600</v>
      </c>
      <c r="M38" s="587" t="s">
        <v>77</v>
      </c>
      <c r="N38" s="588"/>
      <c r="O38" s="454">
        <v>16.100000000000001</v>
      </c>
    </row>
    <row r="39" spans="1:15" ht="27" customHeight="1" x14ac:dyDescent="0.2">
      <c r="A39" s="23"/>
      <c r="B39" s="645" t="s">
        <v>90</v>
      </c>
      <c r="C39" s="646"/>
      <c r="D39" s="646"/>
      <c r="E39" s="646"/>
      <c r="F39" s="429" t="s">
        <v>75</v>
      </c>
      <c r="G39" s="647">
        <v>4310</v>
      </c>
      <c r="H39" s="648"/>
      <c r="M39" s="587" t="s">
        <v>78</v>
      </c>
      <c r="N39" s="588"/>
      <c r="O39" s="454">
        <v>16.149999999999999</v>
      </c>
    </row>
    <row r="40" spans="1:15" ht="14.25" customHeight="1" thickBot="1" x14ac:dyDescent="0.25">
      <c r="A40" s="23"/>
      <c r="J40" s="55"/>
      <c r="K40" s="56"/>
      <c r="M40" s="587" t="s">
        <v>60</v>
      </c>
      <c r="N40" s="588"/>
      <c r="O40" s="649">
        <v>6</v>
      </c>
    </row>
    <row r="41" spans="1:15" ht="14.25" customHeight="1" x14ac:dyDescent="0.2">
      <c r="A41" s="23"/>
      <c r="B41" s="625" t="s">
        <v>115</v>
      </c>
      <c r="C41" s="574"/>
      <c r="D41" s="574"/>
      <c r="E41" s="574"/>
      <c r="F41" s="574"/>
      <c r="G41" s="574" t="s">
        <v>123</v>
      </c>
      <c r="H41" s="566" t="s">
        <v>69</v>
      </c>
      <c r="I41" s="23"/>
      <c r="K41" s="114"/>
      <c r="M41" s="589"/>
      <c r="N41" s="590"/>
      <c r="O41" s="650"/>
    </row>
    <row r="42" spans="1:15" ht="14.25" customHeight="1" x14ac:dyDescent="0.2">
      <c r="A42" s="23"/>
      <c r="B42" s="626"/>
      <c r="C42" s="575"/>
      <c r="D42" s="575"/>
      <c r="E42" s="575"/>
      <c r="F42" s="575"/>
      <c r="G42" s="575"/>
      <c r="H42" s="567"/>
      <c r="I42" s="115"/>
      <c r="K42" s="114"/>
      <c r="M42" s="587" t="s">
        <v>61</v>
      </c>
      <c r="N42" s="588"/>
      <c r="O42" s="649">
        <f>176.6-O24</f>
        <v>172.17</v>
      </c>
    </row>
    <row r="43" spans="1:15" ht="14.25" customHeight="1" x14ac:dyDescent="0.2">
      <c r="A43" s="23"/>
      <c r="B43" s="578" t="s">
        <v>117</v>
      </c>
      <c r="C43" s="568"/>
      <c r="D43" s="568"/>
      <c r="E43" s="568"/>
      <c r="F43" s="568" t="s">
        <v>119</v>
      </c>
      <c r="G43" s="631">
        <f>IFERROR(G37+SUM(H50:I59),"-")</f>
        <v>292.39999999999998</v>
      </c>
      <c r="H43" s="655">
        <f>IFERROR(H37+SUM(H50:I59),"-")</f>
        <v>312.39999999999998</v>
      </c>
      <c r="I43" s="113"/>
      <c r="J43" s="112"/>
      <c r="K43" s="107"/>
      <c r="M43" s="589"/>
      <c r="N43" s="590"/>
      <c r="O43" s="650"/>
    </row>
    <row r="44" spans="1:15" ht="14.25" customHeight="1" x14ac:dyDescent="0.2">
      <c r="A44" s="23"/>
      <c r="B44" s="578"/>
      <c r="C44" s="568"/>
      <c r="D44" s="568"/>
      <c r="E44" s="568"/>
      <c r="F44" s="568"/>
      <c r="G44" s="631"/>
      <c r="H44" s="655"/>
      <c r="I44" s="116"/>
      <c r="K44" s="107"/>
      <c r="M44" s="591" t="s">
        <v>54</v>
      </c>
      <c r="N44" s="592"/>
      <c r="O44" s="593"/>
    </row>
    <row r="45" spans="1:15" ht="14.25" customHeight="1" x14ac:dyDescent="0.2">
      <c r="A45" s="23"/>
      <c r="B45" s="578" t="s">
        <v>118</v>
      </c>
      <c r="C45" s="568"/>
      <c r="D45" s="568"/>
      <c r="E45" s="568"/>
      <c r="F45" s="568" t="s">
        <v>16</v>
      </c>
      <c r="G45" s="631">
        <f>IFERROR(G38+SUM(J50:J59),"-")</f>
        <v>34.799999999999997</v>
      </c>
      <c r="H45" s="653">
        <f>IFERROR(H38+SUM(J50:J59),"-")</f>
        <v>36.51</v>
      </c>
      <c r="I45" s="117"/>
      <c r="K45" s="107"/>
      <c r="M45" s="594"/>
      <c r="N45" s="595"/>
      <c r="O45" s="596"/>
    </row>
    <row r="46" spans="1:15" ht="14.25" customHeight="1" thickBot="1" x14ac:dyDescent="0.25">
      <c r="A46" s="23"/>
      <c r="B46" s="651"/>
      <c r="C46" s="569"/>
      <c r="D46" s="569"/>
      <c r="E46" s="569"/>
      <c r="F46" s="569"/>
      <c r="G46" s="652"/>
      <c r="H46" s="654"/>
      <c r="I46" s="107"/>
      <c r="J46" s="107"/>
      <c r="K46" s="107"/>
      <c r="M46" s="597"/>
      <c r="N46" s="598"/>
      <c r="O46" s="599"/>
    </row>
    <row r="47" spans="1:15" ht="14.25" customHeight="1" thickBot="1" x14ac:dyDescent="0.25">
      <c r="A47" s="23"/>
      <c r="B47" s="103"/>
      <c r="C47" s="104"/>
      <c r="D47" s="104"/>
      <c r="E47" s="104"/>
      <c r="F47" s="104"/>
      <c r="G47" s="102"/>
      <c r="H47" s="102"/>
      <c r="I47" s="102"/>
      <c r="J47" s="102"/>
      <c r="K47" s="102"/>
      <c r="M47" s="105"/>
      <c r="N47" s="105"/>
      <c r="O47" s="106"/>
    </row>
    <row r="48" spans="1:15" ht="14.25" customHeight="1" x14ac:dyDescent="0.2">
      <c r="A48" s="23"/>
      <c r="B48" s="541" t="s">
        <v>104</v>
      </c>
      <c r="C48" s="542"/>
      <c r="D48" s="542"/>
      <c r="E48" s="635"/>
      <c r="F48" s="627" t="s">
        <v>27</v>
      </c>
      <c r="G48" s="602" t="s">
        <v>105</v>
      </c>
      <c r="H48" s="627" t="s">
        <v>116</v>
      </c>
      <c r="I48" s="542"/>
      <c r="J48" s="635"/>
      <c r="K48" s="639" t="s">
        <v>70</v>
      </c>
      <c r="L48" s="639"/>
      <c r="M48" s="639"/>
      <c r="N48" s="658" t="s">
        <v>120</v>
      </c>
      <c r="O48" s="656" t="s">
        <v>13</v>
      </c>
    </row>
    <row r="49" spans="1:15" ht="14.25" customHeight="1" thickBot="1" x14ac:dyDescent="0.25">
      <c r="A49" s="23"/>
      <c r="B49" s="636"/>
      <c r="C49" s="637"/>
      <c r="D49" s="637"/>
      <c r="E49" s="525"/>
      <c r="F49" s="524"/>
      <c r="G49" s="603"/>
      <c r="H49" s="524" t="s">
        <v>113</v>
      </c>
      <c r="I49" s="525"/>
      <c r="J49" s="430" t="s">
        <v>114</v>
      </c>
      <c r="K49" s="569"/>
      <c r="L49" s="569"/>
      <c r="M49" s="569"/>
      <c r="N49" s="659"/>
      <c r="O49" s="657"/>
    </row>
    <row r="50" spans="1:15" ht="14.25" customHeight="1" x14ac:dyDescent="0.2">
      <c r="A50" s="23"/>
      <c r="B50" s="558"/>
      <c r="C50" s="559"/>
      <c r="D50" s="559"/>
      <c r="E50" s="559"/>
      <c r="F50" s="560"/>
      <c r="G50" s="560"/>
      <c r="H50" s="560"/>
      <c r="I50" s="560"/>
      <c r="J50" s="561"/>
      <c r="K50" s="604">
        <v>45848</v>
      </c>
      <c r="L50" s="531"/>
      <c r="M50" s="532"/>
      <c r="N50" s="528"/>
      <c r="O50" s="638"/>
    </row>
    <row r="51" spans="1:15" ht="14.25" customHeight="1" thickBot="1" x14ac:dyDescent="0.25">
      <c r="A51" s="23"/>
      <c r="B51" s="562"/>
      <c r="C51" s="563"/>
      <c r="D51" s="563"/>
      <c r="E51" s="563"/>
      <c r="F51" s="564"/>
      <c r="G51" s="564"/>
      <c r="H51" s="564"/>
      <c r="I51" s="564"/>
      <c r="J51" s="565"/>
      <c r="K51" s="533"/>
      <c r="L51" s="533"/>
      <c r="M51" s="534"/>
      <c r="N51" s="529"/>
      <c r="O51" s="622"/>
    </row>
    <row r="52" spans="1:15" ht="14.25" customHeight="1" x14ac:dyDescent="0.2">
      <c r="A52" s="23"/>
      <c r="B52" s="608"/>
      <c r="C52" s="609"/>
      <c r="D52" s="609"/>
      <c r="E52" s="610"/>
      <c r="F52" s="572"/>
      <c r="G52" s="628"/>
      <c r="H52" s="629">
        <f>IF(G52&lt;'W&amp;B Report Metric'!$C$15,F52*(1+(('W&amp;B Report Metric'!$C$15-G52)/('W&amp;B Report Metric'!$C$15+'W&amp;B Report Metric'!$C$16))),F52*(1-((G52-'W&amp;B Report Metric'!$C$15)/'W&amp;B Report Metric'!$C$16)))</f>
        <v>0</v>
      </c>
      <c r="I52" s="630"/>
      <c r="J52" s="552">
        <f>IF(G52&lt;'W&amp;B Report Metric'!$C$15,-(F52*('W&amp;B Report Metric'!$C$15-G52)/('W&amp;B Report Metric'!$C$17)),-F52*('W&amp;B Report Metric'!$C$15-G52)/('W&amp;B Report Metric'!$C$16))</f>
        <v>0</v>
      </c>
      <c r="K52" s="530"/>
      <c r="L52" s="531"/>
      <c r="M52" s="532"/>
      <c r="N52" s="528"/>
      <c r="O52" s="605"/>
    </row>
    <row r="53" spans="1:15" ht="14.25" customHeight="1" thickBot="1" x14ac:dyDescent="0.25">
      <c r="A53" s="23"/>
      <c r="B53" s="611"/>
      <c r="C53" s="612"/>
      <c r="D53" s="612"/>
      <c r="E53" s="613"/>
      <c r="F53" s="573"/>
      <c r="G53" s="536"/>
      <c r="H53" s="556"/>
      <c r="I53" s="557"/>
      <c r="J53" s="537"/>
      <c r="K53" s="533"/>
      <c r="L53" s="533"/>
      <c r="M53" s="534"/>
      <c r="N53" s="529"/>
      <c r="O53" s="606"/>
    </row>
    <row r="54" spans="1:15" ht="14.25" customHeight="1" x14ac:dyDescent="0.2">
      <c r="A54" s="23"/>
      <c r="B54" s="570"/>
      <c r="C54" s="571"/>
      <c r="D54" s="571"/>
      <c r="E54" s="571"/>
      <c r="F54" s="573"/>
      <c r="G54" s="535"/>
      <c r="H54" s="554">
        <f>IF(G54&lt;'W&amp;B Report Metric'!$C$15,F54*(1+(('W&amp;B Report Metric'!$C$15-G54)/('W&amp;B Report Metric'!$C$15+'W&amp;B Report Metric'!$C$16))),F54*(1-((G54-'W&amp;B Report Metric'!$C$15)/'W&amp;B Report Metric'!$C$16)))</f>
        <v>0</v>
      </c>
      <c r="I54" s="555"/>
      <c r="J54" s="522">
        <f>IF(G54&lt;'W&amp;B Report Metric'!$C$15,-(F54*('W&amp;B Report Metric'!$C$15-G54)/('W&amp;B Report Metric'!$C$17)),-F54*('W&amp;B Report Metric'!$C$15-G54)/('W&amp;B Report Metric'!$C$16))</f>
        <v>0</v>
      </c>
      <c r="K54" s="576"/>
      <c r="L54" s="577"/>
      <c r="M54" s="577"/>
      <c r="N54" s="577"/>
      <c r="O54" s="607"/>
    </row>
    <row r="55" spans="1:15" ht="14.25" customHeight="1" x14ac:dyDescent="0.2">
      <c r="A55" s="23"/>
      <c r="B55" s="570"/>
      <c r="C55" s="571"/>
      <c r="D55" s="571"/>
      <c r="E55" s="571"/>
      <c r="F55" s="573"/>
      <c r="G55" s="536"/>
      <c r="H55" s="556"/>
      <c r="I55" s="557"/>
      <c r="J55" s="537"/>
      <c r="K55" s="576"/>
      <c r="L55" s="577"/>
      <c r="M55" s="577"/>
      <c r="N55" s="577"/>
      <c r="O55" s="607"/>
    </row>
    <row r="56" spans="1:15" ht="14.25" customHeight="1" x14ac:dyDescent="0.2">
      <c r="A56" s="23"/>
      <c r="B56" s="570"/>
      <c r="C56" s="571"/>
      <c r="D56" s="571"/>
      <c r="E56" s="571"/>
      <c r="F56" s="573"/>
      <c r="G56" s="535"/>
      <c r="H56" s="554">
        <f>IF(G56&lt;'W&amp;B Report Metric'!$C$15,F56*(1+(('W&amp;B Report Metric'!$C$15-G56)/('W&amp;B Report Metric'!$C$15+'W&amp;B Report Metric'!$C$16))),F56*(1-((G56-'W&amp;B Report Metric'!$C$15)/'W&amp;B Report Metric'!$C$16)))</f>
        <v>0</v>
      </c>
      <c r="I56" s="555"/>
      <c r="J56" s="522">
        <f>IF(G56&lt;'W&amp;B Report Metric'!$C$15,-(F56*('W&amp;B Report Metric'!$C$15-G56)/('W&amp;B Report Metric'!$C$17)),-F56*('W&amp;B Report Metric'!$C$15-G56)/('W&amp;B Report Metric'!$C$16))</f>
        <v>0</v>
      </c>
      <c r="K56" s="576"/>
      <c r="L56" s="577"/>
      <c r="M56" s="577"/>
      <c r="N56" s="577"/>
      <c r="O56" s="607"/>
    </row>
    <row r="57" spans="1:15" ht="14.25" customHeight="1" x14ac:dyDescent="0.2">
      <c r="A57" s="23"/>
      <c r="B57" s="570"/>
      <c r="C57" s="571"/>
      <c r="D57" s="571"/>
      <c r="E57" s="571"/>
      <c r="F57" s="573"/>
      <c r="G57" s="536"/>
      <c r="H57" s="556"/>
      <c r="I57" s="557"/>
      <c r="J57" s="537"/>
      <c r="K57" s="576"/>
      <c r="L57" s="577"/>
      <c r="M57" s="577"/>
      <c r="N57" s="577"/>
      <c r="O57" s="607"/>
    </row>
    <row r="58" spans="1:15" ht="14.25" customHeight="1" x14ac:dyDescent="0.2">
      <c r="A58" s="23"/>
      <c r="B58" s="570"/>
      <c r="C58" s="571"/>
      <c r="D58" s="571"/>
      <c r="E58" s="571"/>
      <c r="F58" s="573"/>
      <c r="G58" s="535"/>
      <c r="H58" s="554">
        <f>IF(G58&lt;'W&amp;B Report Metric'!$C$15,F58*(1+(('W&amp;B Report Metric'!$C$15-G58)/('W&amp;B Report Metric'!$C$15+'W&amp;B Report Metric'!$C$16))),F58*(1-((G58-'W&amp;B Report Metric'!$C$15)/'W&amp;B Report Metric'!$C$16)))</f>
        <v>0</v>
      </c>
      <c r="I58" s="555"/>
      <c r="J58" s="522">
        <f>IF(G58&lt;'W&amp;B Report Metric'!$C$15,-(F58*('W&amp;B Report Metric'!$C$15-G58)/('W&amp;B Report Metric'!$C$17)),-F58*('W&amp;B Report Metric'!$C$15-G58)/('W&amp;B Report Metric'!$C$16))</f>
        <v>0</v>
      </c>
      <c r="K58" s="576"/>
      <c r="L58" s="577"/>
      <c r="M58" s="577"/>
      <c r="N58" s="526"/>
      <c r="O58" s="108"/>
    </row>
    <row r="59" spans="1:15" ht="14.25" customHeight="1" x14ac:dyDescent="0.2">
      <c r="A59" s="23"/>
      <c r="B59" s="570"/>
      <c r="C59" s="571"/>
      <c r="D59" s="571"/>
      <c r="E59" s="571"/>
      <c r="F59" s="573"/>
      <c r="G59" s="536"/>
      <c r="H59" s="556"/>
      <c r="I59" s="557"/>
      <c r="J59" s="537"/>
      <c r="K59" s="576"/>
      <c r="L59" s="577"/>
      <c r="M59" s="577"/>
      <c r="N59" s="527"/>
      <c r="O59" s="109"/>
    </row>
    <row r="60" spans="1:15" ht="14.25" hidden="1" customHeight="1" x14ac:dyDescent="0.2">
      <c r="A60" s="23"/>
      <c r="B60" s="125"/>
      <c r="C60" s="126"/>
      <c r="D60" s="126"/>
      <c r="E60" s="126"/>
      <c r="F60" s="117"/>
      <c r="G60" s="111"/>
      <c r="H60" s="212"/>
      <c r="I60" s="212"/>
      <c r="J60" s="213"/>
      <c r="K60" s="107"/>
      <c r="L60" s="107"/>
      <c r="M60" s="107"/>
      <c r="N60" s="107"/>
      <c r="O60" s="110"/>
    </row>
    <row r="61" spans="1:15" ht="14.25" customHeight="1" x14ac:dyDescent="0.2">
      <c r="A61" s="23"/>
      <c r="B61" s="579"/>
      <c r="C61" s="580"/>
      <c r="D61" s="580"/>
      <c r="E61" s="580"/>
      <c r="F61" s="583"/>
      <c r="G61" s="585"/>
      <c r="H61" s="554">
        <f>IF(G61&lt;'W&amp;B Report Metric'!$C$15,F61*(1+(('W&amp;B Report Metric'!$C$15-G61)/('W&amp;B Report Metric'!$C$15+'W&amp;B Report Metric'!$C$16))),F61*(1-((G61-'W&amp;B Report Metric'!$C$15)/'W&amp;B Report Metric'!$C$16)))</f>
        <v>0</v>
      </c>
      <c r="I61" s="555"/>
      <c r="J61" s="522">
        <f>IF(G61&lt;'W&amp;B Report Metric'!$C$15,-(F61*('W&amp;B Report Metric'!$C$15-G61)/('W&amp;B Report Metric'!$C$17)),-F61*('W&amp;B Report Metric'!$C$15-G61)/('W&amp;B Report Metric'!$C$16))</f>
        <v>0</v>
      </c>
      <c r="K61" s="553"/>
      <c r="L61" s="553"/>
      <c r="M61" s="553"/>
      <c r="N61" s="553"/>
      <c r="O61" s="621"/>
    </row>
    <row r="62" spans="1:15" ht="14.25" customHeight="1" thickBot="1" x14ac:dyDescent="0.25">
      <c r="A62" s="23"/>
      <c r="B62" s="581"/>
      <c r="C62" s="582"/>
      <c r="D62" s="582"/>
      <c r="E62" s="582"/>
      <c r="F62" s="584"/>
      <c r="G62" s="586"/>
      <c r="H62" s="600"/>
      <c r="I62" s="601"/>
      <c r="J62" s="523"/>
      <c r="K62" s="529"/>
      <c r="L62" s="529"/>
      <c r="M62" s="529"/>
      <c r="N62" s="529"/>
      <c r="O62" s="622"/>
    </row>
    <row r="81" x14ac:dyDescent="0.2"/>
    <row r="94" x14ac:dyDescent="0.2"/>
  </sheetData>
  <sheetProtection password="CF2F" sheet="1" objects="1" scenarios="1" selectLockedCells="1"/>
  <mergeCells count="127">
    <mergeCell ref="I1:O1"/>
    <mergeCell ref="I4:O4"/>
    <mergeCell ref="I5:O5"/>
    <mergeCell ref="M12:O12"/>
    <mergeCell ref="B17:K17"/>
    <mergeCell ref="B13:K13"/>
    <mergeCell ref="B14:K14"/>
    <mergeCell ref="B12:K12"/>
    <mergeCell ref="B15:K15"/>
    <mergeCell ref="I2:O2"/>
    <mergeCell ref="I3:O3"/>
    <mergeCell ref="E6:F6"/>
    <mergeCell ref="K6:M6"/>
    <mergeCell ref="G6:J6"/>
    <mergeCell ref="B6:D6"/>
    <mergeCell ref="B39:E39"/>
    <mergeCell ref="G39:H39"/>
    <mergeCell ref="O31:O32"/>
    <mergeCell ref="O33:O34"/>
    <mergeCell ref="O35:O36"/>
    <mergeCell ref="O42:O43"/>
    <mergeCell ref="O40:O41"/>
    <mergeCell ref="H48:J48"/>
    <mergeCell ref="M38:N38"/>
    <mergeCell ref="M33:N34"/>
    <mergeCell ref="M37:N37"/>
    <mergeCell ref="B41:F42"/>
    <mergeCell ref="B45:E46"/>
    <mergeCell ref="M39:N39"/>
    <mergeCell ref="M40:N41"/>
    <mergeCell ref="G45:G46"/>
    <mergeCell ref="H45:H46"/>
    <mergeCell ref="H43:H44"/>
    <mergeCell ref="F31:H32"/>
    <mergeCell ref="C31:E32"/>
    <mergeCell ref="I31:K32"/>
    <mergeCell ref="O48:O49"/>
    <mergeCell ref="N48:N49"/>
    <mergeCell ref="K48:M49"/>
    <mergeCell ref="B27:K27"/>
    <mergeCell ref="C28:E28"/>
    <mergeCell ref="O29:O30"/>
    <mergeCell ref="I28:K28"/>
    <mergeCell ref="M35:N36"/>
    <mergeCell ref="M29:N30"/>
    <mergeCell ref="F29:H30"/>
    <mergeCell ref="C29:E30"/>
    <mergeCell ref="I29:K30"/>
    <mergeCell ref="B38:E38"/>
    <mergeCell ref="B24:K24"/>
    <mergeCell ref="B29:B30"/>
    <mergeCell ref="J34:K36"/>
    <mergeCell ref="O61:O62"/>
    <mergeCell ref="F58:F59"/>
    <mergeCell ref="B31:B32"/>
    <mergeCell ref="B34:F36"/>
    <mergeCell ref="F48:F49"/>
    <mergeCell ref="B54:E55"/>
    <mergeCell ref="B56:E57"/>
    <mergeCell ref="H34:H36"/>
    <mergeCell ref="G34:G36"/>
    <mergeCell ref="G52:G53"/>
    <mergeCell ref="H52:I53"/>
    <mergeCell ref="F56:F57"/>
    <mergeCell ref="G43:G44"/>
    <mergeCell ref="B37:E37"/>
    <mergeCell ref="F54:F55"/>
    <mergeCell ref="B48:E49"/>
    <mergeCell ref="M31:N32"/>
    <mergeCell ref="N61:N62"/>
    <mergeCell ref="O50:O51"/>
    <mergeCell ref="O56:O57"/>
    <mergeCell ref="K58:M59"/>
    <mergeCell ref="B43:E44"/>
    <mergeCell ref="F43:F44"/>
    <mergeCell ref="B61:E62"/>
    <mergeCell ref="F61:F62"/>
    <mergeCell ref="G61:G62"/>
    <mergeCell ref="M42:N43"/>
    <mergeCell ref="M44:O46"/>
    <mergeCell ref="H61:I62"/>
    <mergeCell ref="G48:G49"/>
    <mergeCell ref="K56:M57"/>
    <mergeCell ref="K50:M51"/>
    <mergeCell ref="O52:O53"/>
    <mergeCell ref="O54:O55"/>
    <mergeCell ref="N50:N51"/>
    <mergeCell ref="N54:N55"/>
    <mergeCell ref="N56:N57"/>
    <mergeCell ref="B52:E53"/>
    <mergeCell ref="K54:M55"/>
    <mergeCell ref="M24:N24"/>
    <mergeCell ref="M13:N13"/>
    <mergeCell ref="M14:N14"/>
    <mergeCell ref="M16:N16"/>
    <mergeCell ref="M15:N15"/>
    <mergeCell ref="M23:N23"/>
    <mergeCell ref="M22:N22"/>
    <mergeCell ref="M21:N21"/>
    <mergeCell ref="M20:N20"/>
    <mergeCell ref="M19:N19"/>
    <mergeCell ref="M18:N18"/>
    <mergeCell ref="M17:N17"/>
    <mergeCell ref="J61:J62"/>
    <mergeCell ref="H49:I49"/>
    <mergeCell ref="N58:N59"/>
    <mergeCell ref="N52:N53"/>
    <mergeCell ref="K52:M53"/>
    <mergeCell ref="G56:G57"/>
    <mergeCell ref="J56:J57"/>
    <mergeCell ref="G54:G55"/>
    <mergeCell ref="F28:H28"/>
    <mergeCell ref="M27:O28"/>
    <mergeCell ref="G58:G59"/>
    <mergeCell ref="J52:J53"/>
    <mergeCell ref="K61:M62"/>
    <mergeCell ref="J54:J55"/>
    <mergeCell ref="H54:I55"/>
    <mergeCell ref="H56:I57"/>
    <mergeCell ref="B50:J51"/>
    <mergeCell ref="H41:H42"/>
    <mergeCell ref="F45:F46"/>
    <mergeCell ref="B58:E59"/>
    <mergeCell ref="F52:F53"/>
    <mergeCell ref="G41:G42"/>
    <mergeCell ref="H58:I59"/>
    <mergeCell ref="J58:J59"/>
  </mergeCells>
  <dataValidations count="2">
    <dataValidation type="list" allowBlank="1" showInputMessage="1" showErrorMessage="1" sqref="O6" xr:uid="{00000000-0002-0000-0000-000000000000}">
      <formula1>"15m only,18m only,15m&amp;18m"</formula1>
    </dataValidation>
    <dataValidation type="list" allowBlank="1" showInputMessage="1" showErrorMessage="1" sqref="N25" xr:uid="{00000000-0002-0000-0000-000001000000}">
      <formula1>"YES, NO"</formula1>
    </dataValidation>
  </dataValidations>
  <printOptions horizontalCentered="1"/>
  <pageMargins left="0.25" right="0.25" top="0.75" bottom="0.75" header="0.3" footer="0.3"/>
  <pageSetup paperSize="9"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H73"/>
  <sheetViews>
    <sheetView topLeftCell="A7" zoomScaleNormal="100" workbookViewId="0">
      <selection activeCell="P31" sqref="P31"/>
    </sheetView>
  </sheetViews>
  <sheetFormatPr baseColWidth="10" defaultColWidth="9.140625" defaultRowHeight="12.75" x14ac:dyDescent="0.2"/>
  <cols>
    <col min="1" max="1" width="21" style="154" customWidth="1"/>
    <col min="2" max="2" width="11.28515625" style="154" customWidth="1"/>
    <col min="3" max="3" width="17.42578125" style="154" bestFit="1" customWidth="1"/>
    <col min="4" max="4" width="19.42578125" style="154" customWidth="1"/>
    <col min="5" max="5" width="12.28515625" style="154" bestFit="1" customWidth="1"/>
    <col min="6" max="6" width="11.28515625" style="154" bestFit="1" customWidth="1"/>
    <col min="7" max="7" width="9.140625" style="154"/>
    <col min="8" max="8" width="11" style="154" bestFit="1" customWidth="1"/>
    <col min="9" max="16384" width="9.140625" style="154"/>
  </cols>
  <sheetData>
    <row r="1" spans="1:5" ht="13.5" thickBot="1" x14ac:dyDescent="0.25">
      <c r="A1" s="412"/>
      <c r="B1" s="413" t="s">
        <v>238</v>
      </c>
      <c r="C1" s="414" t="s">
        <v>239</v>
      </c>
      <c r="D1" s="414" t="s">
        <v>240</v>
      </c>
      <c r="E1" s="415" t="s">
        <v>241</v>
      </c>
    </row>
    <row r="2" spans="1:5" x14ac:dyDescent="0.2">
      <c r="A2" s="416"/>
      <c r="B2" s="417"/>
      <c r="C2" s="417"/>
      <c r="D2" s="417"/>
      <c r="E2" s="418"/>
    </row>
    <row r="3" spans="1:5" x14ac:dyDescent="0.2">
      <c r="A3" s="416" t="s">
        <v>242</v>
      </c>
      <c r="B3" s="154">
        <v>245</v>
      </c>
      <c r="C3" s="154">
        <v>285</v>
      </c>
      <c r="D3" s="154">
        <v>325</v>
      </c>
      <c r="E3" s="158">
        <v>373</v>
      </c>
    </row>
    <row r="4" spans="1:5" ht="13.5" thickBot="1" x14ac:dyDescent="0.25">
      <c r="A4" s="419" t="s">
        <v>243</v>
      </c>
      <c r="B4" s="164">
        <v>27.7</v>
      </c>
      <c r="C4" s="164">
        <v>28</v>
      </c>
      <c r="D4" s="164">
        <v>28.7</v>
      </c>
      <c r="E4" s="160">
        <v>30.1</v>
      </c>
    </row>
    <row r="7" spans="1:5" ht="15" x14ac:dyDescent="0.25">
      <c r="A7" s="420" t="s">
        <v>244</v>
      </c>
      <c r="B7" s="421">
        <v>0</v>
      </c>
      <c r="C7" s="421">
        <v>40</v>
      </c>
      <c r="D7" s="421">
        <v>80</v>
      </c>
      <c r="E7" s="421">
        <v>132</v>
      </c>
    </row>
    <row r="8" spans="1:5" ht="15" x14ac:dyDescent="0.25">
      <c r="A8" s="421" t="s">
        <v>25</v>
      </c>
      <c r="B8" s="421">
        <v>150</v>
      </c>
      <c r="C8" s="421">
        <v>164.86</v>
      </c>
      <c r="D8" s="421">
        <v>186.1</v>
      </c>
      <c r="E8" s="421">
        <v>212.5</v>
      </c>
    </row>
    <row r="11" spans="1:5" x14ac:dyDescent="0.2">
      <c r="B11" s="154" t="s">
        <v>246</v>
      </c>
      <c r="C11" s="154" t="s">
        <v>121</v>
      </c>
      <c r="D11" s="154">
        <v>1</v>
      </c>
    </row>
    <row r="12" spans="1:5" x14ac:dyDescent="0.2">
      <c r="A12" s="154" t="s">
        <v>245</v>
      </c>
      <c r="B12" s="154" t="s">
        <v>162</v>
      </c>
      <c r="C12" s="154" t="s">
        <v>163</v>
      </c>
      <c r="D12" s="154" t="s">
        <v>164</v>
      </c>
    </row>
    <row r="13" spans="1:5" x14ac:dyDescent="0.2">
      <c r="B13" s="154">
        <v>6.9999999999999999E-4</v>
      </c>
      <c r="C13" s="154">
        <v>0.3866</v>
      </c>
      <c r="D13" s="154">
        <v>149.55000000000001</v>
      </c>
    </row>
    <row r="34" spans="2:8" x14ac:dyDescent="0.2">
      <c r="E34" s="422" t="s">
        <v>69</v>
      </c>
      <c r="F34" s="422" t="s">
        <v>342</v>
      </c>
      <c r="G34" s="422" t="s">
        <v>123</v>
      </c>
    </row>
    <row r="35" spans="2:8" x14ac:dyDescent="0.2">
      <c r="B35" s="224" t="s">
        <v>247</v>
      </c>
      <c r="C35" s="224" t="s">
        <v>343</v>
      </c>
      <c r="D35" s="224" t="s">
        <v>344</v>
      </c>
      <c r="E35" s="422" t="s">
        <v>345</v>
      </c>
      <c r="F35" s="422" t="s">
        <v>346</v>
      </c>
    </row>
    <row r="36" spans="2:8" x14ac:dyDescent="0.2">
      <c r="B36" s="423">
        <v>0</v>
      </c>
      <c r="C36" s="154">
        <f>(0.0007*B36^2+0.3866*B36+149.55)</f>
        <v>149.55000000000001</v>
      </c>
      <c r="D36" s="154">
        <f>IF(B36&lt;=1.674,153.465346534654*B36-55.7009900990091,-1.71511793130427E-10*B36^6+9.50302625981645E-08*B36^5-0.000020616514935014*B36^4+0.00226864992823323*B36^3-0.138637060615541*B36^2+4.57788786636922*B36+195.415953292905)</f>
        <v>-55.700990099009097</v>
      </c>
      <c r="E36" s="424">
        <f>MIN((398-C36)/(Config!$D$13-398)*B36,5.8)</f>
        <v>0</v>
      </c>
      <c r="F36" s="424">
        <f>MIN((398-D36)/(Config!$D$13-398)*B36,5.8)</f>
        <v>0</v>
      </c>
      <c r="G36" s="370">
        <v>0</v>
      </c>
    </row>
    <row r="37" spans="2:8" x14ac:dyDescent="0.2">
      <c r="B37" s="224">
        <v>10</v>
      </c>
      <c r="C37" s="154">
        <f t="shared" ref="C37:C49" si="0">(0.0007*B37^2+0.3866*B37+149.55)</f>
        <v>153.48600000000002</v>
      </c>
      <c r="D37" s="154">
        <f t="shared" ref="D37:D52" si="1">IF(B37&lt;=1.674,153.465346534654*B37-55.7009900990091,-1.71511793130427E-10*B37^6+9.50302625981645E-08*B37^5-0.000020616514935014*B37^4+0.00226864992823323*B37^3-0.138637060615541*B37^2+4.57788786636922*B37+195.415953292905)</f>
        <v>229.40294218839287</v>
      </c>
      <c r="E37" s="424">
        <f>MIN((398-C37)/(Config!$D$13-398)*B37,5.8)</f>
        <v>0.62905582711602781</v>
      </c>
      <c r="F37" s="424">
        <f>MIN((398-D37)/(Config!$D$13-398)*B37,5.8)</f>
        <v>0.43374596812865229</v>
      </c>
      <c r="G37" s="370">
        <v>0.60722464698331191</v>
      </c>
      <c r="H37" s="154">
        <f t="shared" ref="H37:H48" si="2">B37/E37</f>
        <v>15.896840262725242</v>
      </c>
    </row>
    <row r="38" spans="2:8" x14ac:dyDescent="0.2">
      <c r="B38" s="513">
        <v>20</v>
      </c>
      <c r="C38" s="154">
        <f t="shared" si="0"/>
        <v>157.56200000000001</v>
      </c>
      <c r="D38" s="154">
        <f t="shared" si="1"/>
        <v>246.66256349589037</v>
      </c>
      <c r="E38" s="514">
        <f>MIN((398-C38)/(Config!$D$13-398)*B38,5.8)</f>
        <v>1.2371391818883457</v>
      </c>
      <c r="F38" s="514">
        <f>MIN((398-D38)/(Config!$D$13-398)*B38,5.8)</f>
        <v>0.77868503475230066</v>
      </c>
      <c r="G38" s="370">
        <v>1.1935198973042362</v>
      </c>
      <c r="H38" s="154">
        <f t="shared" si="2"/>
        <v>16.16632978148213</v>
      </c>
    </row>
    <row r="39" spans="2:8" x14ac:dyDescent="0.2">
      <c r="B39" s="224">
        <v>30</v>
      </c>
      <c r="C39" s="154">
        <f t="shared" si="0"/>
        <v>161.77800000000002</v>
      </c>
      <c r="D39" s="154">
        <f t="shared" si="1"/>
        <v>254.71760897887387</v>
      </c>
      <c r="E39" s="424">
        <f>MIN((398-C39)/(Config!$D$13-398)*B39,5.8)</f>
        <v>1.8231695394906096</v>
      </c>
      <c r="F39" s="424">
        <f>MIN((398-D39)/(Config!$D$13-398)*B39,5.8)</f>
        <v>1.105858433402054</v>
      </c>
      <c r="G39" s="370">
        <v>1.7578074454428754</v>
      </c>
      <c r="H39" s="154">
        <f t="shared" si="2"/>
        <v>16.454860258570328</v>
      </c>
    </row>
    <row r="40" spans="2:8" x14ac:dyDescent="0.2">
      <c r="B40" s="513">
        <v>40</v>
      </c>
      <c r="C40" s="154">
        <f t="shared" si="0"/>
        <v>166.13400000000001</v>
      </c>
      <c r="D40" s="154">
        <f t="shared" si="1"/>
        <v>258.15607472148889</v>
      </c>
      <c r="E40" s="514">
        <f>MIN((398-C40)/(Config!$D$13-398)*B40,5.8)</f>
        <v>2.3860663750964752</v>
      </c>
      <c r="F40" s="514">
        <f>MIN((398-D40)/(Config!$D$13-398)*B40,5.8)</f>
        <v>1.4390936483510275</v>
      </c>
      <c r="G40" s="370">
        <v>2.2990089858793321</v>
      </c>
      <c r="H40" s="154">
        <f t="shared" si="2"/>
        <v>16.76399299595456</v>
      </c>
    </row>
    <row r="41" spans="2:8" x14ac:dyDescent="0.2">
      <c r="B41" s="224">
        <v>50</v>
      </c>
      <c r="C41" s="154">
        <f t="shared" si="0"/>
        <v>170.63</v>
      </c>
      <c r="D41" s="154">
        <f t="shared" si="1"/>
        <v>259.46280305209325</v>
      </c>
      <c r="E41" s="424">
        <f>MIN((398-C41)/(Config!$D$13-398)*B41,5.8)</f>
        <v>2.924749163879599</v>
      </c>
      <c r="F41" s="424">
        <f>MIN((398-D41)/(Config!$D$13-398)*B41,5.8)</f>
        <v>1.7820581032661018</v>
      </c>
      <c r="G41" s="370">
        <v>2.8160462130937098</v>
      </c>
      <c r="H41" s="154">
        <f t="shared" si="2"/>
        <v>17.09548313321898</v>
      </c>
    </row>
    <row r="42" spans="2:8" x14ac:dyDescent="0.2">
      <c r="B42" s="513">
        <v>60</v>
      </c>
      <c r="C42" s="154">
        <f t="shared" si="0"/>
        <v>175.26600000000002</v>
      </c>
      <c r="D42" s="154">
        <f t="shared" si="1"/>
        <v>259.72763597574635</v>
      </c>
      <c r="E42" s="514">
        <f>MIN((398-C42)/(Config!$D$13-398)*B42,5.8)</f>
        <v>3.4381373810136351</v>
      </c>
      <c r="F42" s="514">
        <f>MIN((398-D42)/(Config!$D$13-398)*B42,5.8)</f>
        <v>2.1343817446501721</v>
      </c>
      <c r="G42" s="370">
        <v>3.3078408215661104</v>
      </c>
      <c r="H42" s="154">
        <f t="shared" si="2"/>
        <v>17.451309633913098</v>
      </c>
    </row>
    <row r="43" spans="2:8" x14ac:dyDescent="0.2">
      <c r="B43" s="224">
        <v>70</v>
      </c>
      <c r="C43" s="154">
        <f t="shared" si="0"/>
        <v>180.042</v>
      </c>
      <c r="D43" s="154">
        <f t="shared" si="1"/>
        <v>259.23008011564474</v>
      </c>
      <c r="E43" s="424">
        <f>MIN((398-C43)/(Config!$D$13-398)*B43,5.8)</f>
        <v>3.9251505016722406</v>
      </c>
      <c r="F43" s="424">
        <f>MIN((398-D43)/(Config!$D$13-398)*B43,5.8)</f>
        <v>2.4990723930807484</v>
      </c>
      <c r="G43" s="370">
        <v>3.7733145057766366</v>
      </c>
      <c r="H43" s="154">
        <f t="shared" si="2"/>
        <v>17.83371108195157</v>
      </c>
    </row>
    <row r="44" spans="2:8" x14ac:dyDescent="0.2">
      <c r="B44" s="513">
        <v>80</v>
      </c>
      <c r="C44" s="154">
        <f t="shared" si="0"/>
        <v>184.95800000000003</v>
      </c>
      <c r="D44" s="154">
        <f t="shared" si="1"/>
        <v>257.90048316350334</v>
      </c>
      <c r="E44" s="514">
        <f>MIN((398-C44)/(Config!$D$13-398)*B44,5.8)</f>
        <v>4.3847080010290709</v>
      </c>
      <c r="F44" s="514">
        <f>MIN((398-D44)/(Config!$D$13-398)*B44,5.8)</f>
        <v>2.8834477352507677</v>
      </c>
      <c r="G44" s="370">
        <v>4.2113889602053911</v>
      </c>
      <c r="H44" s="154">
        <f t="shared" si="2"/>
        <v>18.245228640361997</v>
      </c>
    </row>
    <row r="45" spans="2:8" x14ac:dyDescent="0.2">
      <c r="B45" s="224">
        <v>90</v>
      </c>
      <c r="C45" s="154">
        <f t="shared" si="0"/>
        <v>190.01400000000001</v>
      </c>
      <c r="D45" s="154">
        <f t="shared" si="1"/>
        <v>255.65772183888328</v>
      </c>
      <c r="E45" s="424">
        <f>MIN((398-C45)/(Config!$D$13-398)*B45,5.8)</f>
        <v>4.8157293542577824</v>
      </c>
      <c r="F45" s="424">
        <f>MIN((398-D45)/(Config!$D$13-398)*B45,5.8)</f>
        <v>3.2958078298174698</v>
      </c>
      <c r="G45" s="370">
        <v>4.6209858793324772</v>
      </c>
      <c r="H45" s="154">
        <f t="shared" si="2"/>
        <v>18.688757897166155</v>
      </c>
    </row>
    <row r="46" spans="2:8" x14ac:dyDescent="0.2">
      <c r="B46" s="515">
        <v>100</v>
      </c>
      <c r="C46" s="154">
        <f t="shared" si="0"/>
        <v>195.21</v>
      </c>
      <c r="D46" s="154">
        <f t="shared" si="1"/>
        <v>252.62340135746547</v>
      </c>
      <c r="E46" s="514">
        <f>MIN((398-C46)/(Config!$D$13-398)*B46,5.8)</f>
        <v>5.2171340365320296</v>
      </c>
      <c r="F46" s="514">
        <f>MIN((398-D46)/(Config!$D$13-398)*B46,5.8)</f>
        <v>3.7400720000652052</v>
      </c>
      <c r="G46" s="370">
        <v>5.0010269576379978</v>
      </c>
      <c r="H46" s="154">
        <f t="shared" si="2"/>
        <v>19.167611815178265</v>
      </c>
    </row>
    <row r="47" spans="2:8" x14ac:dyDescent="0.2">
      <c r="B47" s="224">
        <v>110</v>
      </c>
      <c r="C47" s="154">
        <f t="shared" si="0"/>
        <v>200.54600000000002</v>
      </c>
      <c r="D47" s="154">
        <f t="shared" si="1"/>
        <v>249.2125664082692</v>
      </c>
      <c r="E47" s="424">
        <f>MIN((398-C47)/(Config!$D$13-398)*B47,5.8)</f>
        <v>5.5878415230254683</v>
      </c>
      <c r="F47" s="424">
        <f>MIN((398-D47)/(Config!$D$13-398)*B47,5.8)</f>
        <v>4.21060398638806</v>
      </c>
      <c r="G47" s="370">
        <v>5.350433889602054</v>
      </c>
      <c r="H47" s="154">
        <f t="shared" si="2"/>
        <v>19.685597658188748</v>
      </c>
    </row>
    <row r="48" spans="2:8" x14ac:dyDescent="0.2">
      <c r="B48" s="515">
        <v>120</v>
      </c>
      <c r="C48" s="154">
        <f t="shared" si="0"/>
        <v>206.02200000000002</v>
      </c>
      <c r="D48" s="154">
        <f t="shared" si="1"/>
        <v>246.10092363982153</v>
      </c>
      <c r="E48" s="514">
        <f>MIN((398-C48)/(Config!$D$13-398)*B48,5.8)</f>
        <v>5.8</v>
      </c>
      <c r="F48" s="514">
        <f>MIN((398-D48)/(Config!$D$13-398)*B48,5.8)</f>
        <v>4.6894492315979974</v>
      </c>
      <c r="G48" s="370">
        <v>5.6681283697047489</v>
      </c>
      <c r="H48" s="154">
        <f t="shared" si="2"/>
        <v>20.689655172413794</v>
      </c>
    </row>
    <row r="49" spans="2:7" x14ac:dyDescent="0.2">
      <c r="B49" s="423">
        <v>130</v>
      </c>
      <c r="C49" s="154">
        <f t="shared" si="0"/>
        <v>211.63800000000001</v>
      </c>
      <c r="D49" s="154">
        <f t="shared" si="1"/>
        <v>244.06857565526525</v>
      </c>
      <c r="E49" s="424">
        <f>MIN((398-C49)/(Config!$D$13-398)*B49,5.8)</f>
        <v>5.8</v>
      </c>
      <c r="F49" s="424">
        <f>MIN((398-D49)/(Config!$D$13-398)*B49,5.8)</f>
        <v>5.1482081720647077</v>
      </c>
      <c r="G49" s="370">
        <v>5.9</v>
      </c>
    </row>
    <row r="50" spans="2:7" x14ac:dyDescent="0.2">
      <c r="B50" s="423">
        <v>140</v>
      </c>
      <c r="D50" s="154">
        <f t="shared" si="1"/>
        <v>243.72026651641659</v>
      </c>
      <c r="E50" s="424">
        <f>MIN((398-C50)/(Config!$D$13-398)*B50,5.8)</f>
        <v>5.8</v>
      </c>
      <c r="F50" s="424">
        <f>MIN((398-D50)/(Config!$D$13-398)*B50,5.8)</f>
        <v>5.5567694076927401</v>
      </c>
    </row>
    <row r="51" spans="2:7" x14ac:dyDescent="0.2">
      <c r="B51" s="423">
        <v>150</v>
      </c>
      <c r="D51" s="154">
        <f t="shared" si="1"/>
        <v>245.08213875677518</v>
      </c>
      <c r="E51" s="424">
        <f>MIN((398-C51)/(Config!$D$13-398)*B51,5.8)</f>
        <v>5.8</v>
      </c>
      <c r="F51" s="424">
        <f>MIN((398-D51)/(Config!$D$13-398)*B51,5.8)</f>
        <v>5.8</v>
      </c>
    </row>
    <row r="52" spans="2:7" x14ac:dyDescent="0.2">
      <c r="B52" s="423">
        <v>156</v>
      </c>
      <c r="D52" s="154">
        <f t="shared" si="1"/>
        <v>246.33580013151106</v>
      </c>
      <c r="E52" s="424">
        <f>MIN((398-C52)/(Config!$D$13-398)*B52,5.8)</f>
        <v>5.8</v>
      </c>
      <c r="F52" s="424">
        <f>MIN((398-D52)/(Config!$D$13-398)*B52,5.8)</f>
        <v>5.8</v>
      </c>
    </row>
    <row r="53" spans="2:7" x14ac:dyDescent="0.2">
      <c r="E53" s="424"/>
      <c r="F53" s="424"/>
    </row>
    <row r="54" spans="2:7" x14ac:dyDescent="0.2">
      <c r="E54" s="422" t="s">
        <v>69</v>
      </c>
      <c r="F54" s="422" t="s">
        <v>347</v>
      </c>
    </row>
    <row r="55" spans="2:7" x14ac:dyDescent="0.2">
      <c r="B55" s="224" t="s">
        <v>247</v>
      </c>
      <c r="E55" s="422" t="s">
        <v>345</v>
      </c>
      <c r="F55" s="422" t="s">
        <v>346</v>
      </c>
    </row>
    <row r="56" spans="2:7" x14ac:dyDescent="0.2">
      <c r="B56" s="425">
        <f>B36*0.264172</f>
        <v>0</v>
      </c>
      <c r="E56" s="425">
        <f>0.264172*E36</f>
        <v>0</v>
      </c>
      <c r="F56" s="425">
        <f>0.264172*F36</f>
        <v>0</v>
      </c>
    </row>
    <row r="57" spans="2:7" x14ac:dyDescent="0.2">
      <c r="B57" s="154">
        <f t="shared" ref="B57:B73" si="3">B37*0.264172</f>
        <v>2.6417200000000003</v>
      </c>
      <c r="E57" s="154">
        <f t="shared" ref="E57:F72" si="4">0.264172*E37</f>
        <v>0.16617893596089531</v>
      </c>
      <c r="F57" s="154">
        <f t="shared" si="4"/>
        <v>0.11458353989248234</v>
      </c>
    </row>
    <row r="58" spans="2:7" x14ac:dyDescent="0.2">
      <c r="B58" s="425">
        <f t="shared" si="3"/>
        <v>5.2834400000000006</v>
      </c>
      <c r="E58" s="425">
        <f t="shared" si="4"/>
        <v>0.32681753195780811</v>
      </c>
      <c r="F58" s="425">
        <f t="shared" si="4"/>
        <v>0.20570678300058479</v>
      </c>
    </row>
    <row r="59" spans="2:7" x14ac:dyDescent="0.2">
      <c r="B59" s="154">
        <f t="shared" si="3"/>
        <v>7.9251600000000009</v>
      </c>
      <c r="E59" s="154">
        <f t="shared" si="4"/>
        <v>0.48163034358631335</v>
      </c>
      <c r="F59" s="154">
        <f t="shared" si="4"/>
        <v>0.29213683406868746</v>
      </c>
    </row>
    <row r="60" spans="2:7" x14ac:dyDescent="0.2">
      <c r="B60" s="425">
        <f t="shared" si="3"/>
        <v>10.566880000000001</v>
      </c>
      <c r="E60" s="425">
        <f t="shared" si="4"/>
        <v>0.6303319264419861</v>
      </c>
      <c r="F60" s="425">
        <f t="shared" si="4"/>
        <v>0.38016824727218768</v>
      </c>
    </row>
    <row r="61" spans="2:7" x14ac:dyDescent="0.2">
      <c r="B61" s="154">
        <f t="shared" si="3"/>
        <v>13.208600000000001</v>
      </c>
      <c r="E61" s="154">
        <f t="shared" si="4"/>
        <v>0.77263683612040146</v>
      </c>
      <c r="F61" s="154">
        <f t="shared" si="4"/>
        <v>0.47076985325601267</v>
      </c>
    </row>
    <row r="62" spans="2:7" x14ac:dyDescent="0.2">
      <c r="B62" s="425">
        <f t="shared" si="3"/>
        <v>15.850320000000002</v>
      </c>
      <c r="E62" s="425">
        <f t="shared" si="4"/>
        <v>0.90825962821713402</v>
      </c>
      <c r="F62" s="425">
        <f t="shared" si="4"/>
        <v>0.5638438942477253</v>
      </c>
    </row>
    <row r="63" spans="2:7" x14ac:dyDescent="0.2">
      <c r="B63" s="154">
        <f t="shared" si="3"/>
        <v>18.492040000000003</v>
      </c>
      <c r="E63" s="154">
        <f t="shared" si="4"/>
        <v>1.0369148583277592</v>
      </c>
      <c r="F63" s="154">
        <f t="shared" si="4"/>
        <v>0.66018495222492746</v>
      </c>
    </row>
    <row r="64" spans="2:7" x14ac:dyDescent="0.2">
      <c r="B64" s="425">
        <f t="shared" si="3"/>
        <v>21.133760000000002</v>
      </c>
      <c r="E64" s="425">
        <f t="shared" si="4"/>
        <v>1.1583170820478519</v>
      </c>
      <c r="F64" s="425">
        <f t="shared" si="4"/>
        <v>0.76172615511666586</v>
      </c>
    </row>
    <row r="65" spans="2:6" x14ac:dyDescent="0.2">
      <c r="B65" s="154">
        <f t="shared" si="3"/>
        <v>23.775480000000002</v>
      </c>
      <c r="E65" s="154">
        <f t="shared" si="4"/>
        <v>1.2721808549729869</v>
      </c>
      <c r="F65" s="154">
        <f t="shared" si="4"/>
        <v>0.87066014601854069</v>
      </c>
    </row>
    <row r="66" spans="2:6" x14ac:dyDescent="0.2">
      <c r="B66" s="425">
        <f t="shared" si="3"/>
        <v>26.417200000000001</v>
      </c>
      <c r="E66" s="425">
        <f t="shared" si="4"/>
        <v>1.3782207326987395</v>
      </c>
      <c r="F66" s="425">
        <f t="shared" si="4"/>
        <v>0.98802230040122552</v>
      </c>
    </row>
    <row r="67" spans="2:6" x14ac:dyDescent="0.2">
      <c r="B67" s="154">
        <f t="shared" si="3"/>
        <v>29.058920000000001</v>
      </c>
      <c r="E67" s="154">
        <f t="shared" si="4"/>
        <v>1.4761512708206841</v>
      </c>
      <c r="F67" s="154">
        <f t="shared" si="4"/>
        <v>1.1123236762921067</v>
      </c>
    </row>
    <row r="68" spans="2:6" x14ac:dyDescent="0.2">
      <c r="B68" s="425">
        <f t="shared" si="3"/>
        <v>31.700640000000003</v>
      </c>
      <c r="E68" s="425">
        <f t="shared" si="4"/>
        <v>1.5321976000000002</v>
      </c>
      <c r="F68" s="425">
        <f t="shared" si="4"/>
        <v>1.2388211824097062</v>
      </c>
    </row>
    <row r="69" spans="2:6" x14ac:dyDescent="0.2">
      <c r="B69" s="154">
        <f t="shared" si="3"/>
        <v>34.342359999999999</v>
      </c>
      <c r="E69" s="154">
        <f t="shared" si="4"/>
        <v>1.5321976000000002</v>
      </c>
      <c r="F69" s="154">
        <f t="shared" si="4"/>
        <v>1.360012449230678</v>
      </c>
    </row>
    <row r="70" spans="2:6" x14ac:dyDescent="0.2">
      <c r="B70" s="425">
        <f>B50*0.264172</f>
        <v>36.984080000000006</v>
      </c>
      <c r="E70" s="425">
        <f>0.264172*E50</f>
        <v>1.5321976000000002</v>
      </c>
      <c r="F70" s="425">
        <f t="shared" si="4"/>
        <v>1.4679428879690066</v>
      </c>
    </row>
    <row r="71" spans="2:6" x14ac:dyDescent="0.2">
      <c r="B71" s="154">
        <f t="shared" si="3"/>
        <v>39.625800000000005</v>
      </c>
      <c r="E71" s="154">
        <f t="shared" si="4"/>
        <v>1.5321976000000002</v>
      </c>
      <c r="F71" s="154">
        <f t="shared" si="4"/>
        <v>1.5321976000000002</v>
      </c>
    </row>
    <row r="72" spans="2:6" x14ac:dyDescent="0.2">
      <c r="B72" s="425">
        <f t="shared" si="3"/>
        <v>41.210832000000003</v>
      </c>
      <c r="E72" s="425">
        <f t="shared" si="4"/>
        <v>1.5321976000000002</v>
      </c>
      <c r="F72" s="425">
        <f t="shared" si="4"/>
        <v>1.5321976000000002</v>
      </c>
    </row>
    <row r="73" spans="2:6" x14ac:dyDescent="0.2">
      <c r="B73" s="154">
        <f t="shared" si="3"/>
        <v>0</v>
      </c>
      <c r="E73" s="425"/>
      <c r="F73" s="425"/>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F49"/>
  <sheetViews>
    <sheetView topLeftCell="A7" zoomScaleNormal="100" workbookViewId="0">
      <selection activeCell="C36" sqref="C36"/>
    </sheetView>
  </sheetViews>
  <sheetFormatPr baseColWidth="10" defaultColWidth="9.140625" defaultRowHeight="12.75" x14ac:dyDescent="0.2"/>
  <cols>
    <col min="1" max="1" width="21" customWidth="1"/>
    <col min="2" max="2" width="11.28515625" customWidth="1"/>
    <col min="3" max="3" width="12.42578125" customWidth="1"/>
    <col min="4" max="4" width="12.5703125" customWidth="1"/>
    <col min="5" max="5" width="11.28515625" customWidth="1"/>
    <col min="8" max="8" width="11" bestFit="1" customWidth="1"/>
  </cols>
  <sheetData>
    <row r="1" spans="1:5" ht="13.5" thickBot="1" x14ac:dyDescent="0.25">
      <c r="A1" s="241"/>
      <c r="B1" s="242" t="s">
        <v>238</v>
      </c>
      <c r="C1" s="243" t="s">
        <v>239</v>
      </c>
      <c r="D1" s="243" t="s">
        <v>240</v>
      </c>
      <c r="E1" s="244" t="s">
        <v>241</v>
      </c>
    </row>
    <row r="2" spans="1:5" x14ac:dyDescent="0.2">
      <c r="A2" s="245"/>
      <c r="B2" s="120"/>
      <c r="C2" s="120"/>
      <c r="D2" s="120"/>
      <c r="E2" s="121"/>
    </row>
    <row r="3" spans="1:5" x14ac:dyDescent="0.2">
      <c r="A3" s="245" t="s">
        <v>242</v>
      </c>
      <c r="B3">
        <v>245</v>
      </c>
      <c r="C3">
        <v>285</v>
      </c>
      <c r="D3">
        <v>325</v>
      </c>
      <c r="E3" s="3">
        <v>373</v>
      </c>
    </row>
    <row r="4" spans="1:5" ht="13.5" thickBot="1" x14ac:dyDescent="0.25">
      <c r="A4" s="246" t="s">
        <v>243</v>
      </c>
      <c r="B4" s="169">
        <v>27.7</v>
      </c>
      <c r="C4" s="169">
        <v>28</v>
      </c>
      <c r="D4" s="169">
        <v>28.7</v>
      </c>
      <c r="E4" s="170">
        <v>30.1</v>
      </c>
    </row>
    <row r="7" spans="1:5" ht="15" x14ac:dyDescent="0.25">
      <c r="A7" s="248" t="s">
        <v>244</v>
      </c>
      <c r="B7" s="247">
        <v>0</v>
      </c>
      <c r="C7" s="247">
        <v>40</v>
      </c>
      <c r="D7" s="247">
        <v>80</v>
      </c>
      <c r="E7" s="247">
        <v>132</v>
      </c>
    </row>
    <row r="8" spans="1:5" ht="15" x14ac:dyDescent="0.25">
      <c r="A8" s="247" t="s">
        <v>25</v>
      </c>
      <c r="B8" s="247">
        <v>150</v>
      </c>
      <c r="C8" s="247">
        <v>164.86</v>
      </c>
      <c r="D8" s="247">
        <v>186.1</v>
      </c>
      <c r="E8" s="247">
        <v>212.5</v>
      </c>
    </row>
    <row r="11" spans="1:5" x14ac:dyDescent="0.2">
      <c r="B11" s="12" t="s">
        <v>246</v>
      </c>
      <c r="C11" s="12" t="s">
        <v>121</v>
      </c>
      <c r="D11">
        <v>1</v>
      </c>
    </row>
    <row r="12" spans="1:5" x14ac:dyDescent="0.2">
      <c r="A12" s="12" t="s">
        <v>245</v>
      </c>
      <c r="B12" s="12" t="s">
        <v>162</v>
      </c>
      <c r="C12" s="12" t="s">
        <v>163</v>
      </c>
      <c r="D12" s="12" t="s">
        <v>164</v>
      </c>
    </row>
    <row r="13" spans="1:5" x14ac:dyDescent="0.2">
      <c r="B13">
        <v>6.9999999999999999E-4</v>
      </c>
      <c r="C13">
        <v>0.3866</v>
      </c>
      <c r="D13">
        <v>149.55000000000001</v>
      </c>
    </row>
    <row r="34" spans="2:6" x14ac:dyDescent="0.2">
      <c r="D34" s="6" t="s">
        <v>69</v>
      </c>
      <c r="E34" s="6" t="s">
        <v>123</v>
      </c>
    </row>
    <row r="35" spans="2:6" x14ac:dyDescent="0.2">
      <c r="B35" s="4" t="s">
        <v>247</v>
      </c>
      <c r="C35" s="4" t="s">
        <v>248</v>
      </c>
      <c r="D35" s="6" t="s">
        <v>249</v>
      </c>
    </row>
    <row r="36" spans="2:6" x14ac:dyDescent="0.2">
      <c r="B36" s="4">
        <v>0</v>
      </c>
      <c r="C36">
        <f>(0.0007*B36^2+0.3866*B36+149.55)</f>
        <v>149.55000000000001</v>
      </c>
      <c r="D36" s="249">
        <f>MIN((398-C36)/(Config!$D$13-398)*B36,5.9)</f>
        <v>0</v>
      </c>
      <c r="E36" s="220">
        <f>MIN((390-C36)/(Config!$D$13-390)*B36,5.9)</f>
        <v>0</v>
      </c>
    </row>
    <row r="37" spans="2:6" x14ac:dyDescent="0.2">
      <c r="B37" s="4">
        <v>10</v>
      </c>
      <c r="C37">
        <f t="shared" ref="C37:C49" si="0">(0.0007*B37^2+0.3866*B37+149.55)</f>
        <v>153.48600000000002</v>
      </c>
      <c r="D37" s="249">
        <f>MIN((398-C37)/(Config!$D$13-398)*B37,5.9)</f>
        <v>0.62905582711602781</v>
      </c>
      <c r="E37" s="220">
        <f>MIN((390-C37)/(Config!$D$13-390)*B37,5.9)</f>
        <v>0.60722464698331191</v>
      </c>
      <c r="F37">
        <f t="shared" ref="F37:F47" si="1">B37/D37</f>
        <v>15.896840262725242</v>
      </c>
    </row>
    <row r="38" spans="2:6" x14ac:dyDescent="0.2">
      <c r="B38" s="4">
        <v>20</v>
      </c>
      <c r="C38">
        <f t="shared" si="0"/>
        <v>157.56200000000001</v>
      </c>
      <c r="D38" s="249">
        <f>MIN((398-C38)/(Config!$D$13-398)*B38,5.9)</f>
        <v>1.2371391818883457</v>
      </c>
      <c r="E38" s="220">
        <f>MIN((390-C38)/(Config!$D$13-390)*B38,5.9)</f>
        <v>1.1935198973042362</v>
      </c>
      <c r="F38">
        <f t="shared" si="1"/>
        <v>16.16632978148213</v>
      </c>
    </row>
    <row r="39" spans="2:6" x14ac:dyDescent="0.2">
      <c r="B39" s="4">
        <v>30</v>
      </c>
      <c r="C39">
        <f t="shared" si="0"/>
        <v>161.77800000000002</v>
      </c>
      <c r="D39" s="249">
        <f>MIN((398-C39)/(Config!$D$13-398)*B39,5.9)</f>
        <v>1.8231695394906096</v>
      </c>
      <c r="E39" s="220">
        <f>MIN((390-C39)/(Config!$D$13-390)*B39,5.9)</f>
        <v>1.7578074454428754</v>
      </c>
      <c r="F39">
        <f t="shared" si="1"/>
        <v>16.454860258570328</v>
      </c>
    </row>
    <row r="40" spans="2:6" x14ac:dyDescent="0.2">
      <c r="B40" s="4">
        <v>40</v>
      </c>
      <c r="C40">
        <f t="shared" si="0"/>
        <v>166.13400000000001</v>
      </c>
      <c r="D40" s="249">
        <f>MIN((398-C40)/(Config!$D$13-398)*B40,5.9)</f>
        <v>2.3860663750964752</v>
      </c>
      <c r="E40" s="220">
        <f>MIN((390-C40)/(Config!$D$13-390)*B40,5.9)</f>
        <v>2.2990089858793321</v>
      </c>
      <c r="F40">
        <f t="shared" si="1"/>
        <v>16.76399299595456</v>
      </c>
    </row>
    <row r="41" spans="2:6" x14ac:dyDescent="0.2">
      <c r="B41" s="4">
        <v>50</v>
      </c>
      <c r="C41">
        <f t="shared" si="0"/>
        <v>170.63</v>
      </c>
      <c r="D41" s="249">
        <f>MIN((398-C41)/(Config!$D$13-398)*B41,5.9)</f>
        <v>2.924749163879599</v>
      </c>
      <c r="E41" s="220">
        <f>MIN((390-C41)/(Config!$D$13-390)*B41,5.9)</f>
        <v>2.8160462130937098</v>
      </c>
      <c r="F41">
        <f t="shared" si="1"/>
        <v>17.09548313321898</v>
      </c>
    </row>
    <row r="42" spans="2:6" x14ac:dyDescent="0.2">
      <c r="B42" s="4">
        <v>60</v>
      </c>
      <c r="C42">
        <f t="shared" si="0"/>
        <v>175.26600000000002</v>
      </c>
      <c r="D42" s="249">
        <f>MIN((398-C42)/(Config!$D$13-398)*B42,5.9)</f>
        <v>3.4381373810136351</v>
      </c>
      <c r="E42" s="220">
        <f>MIN((390-C42)/(Config!$D$13-390)*B42,5.9)</f>
        <v>3.3078408215661104</v>
      </c>
      <c r="F42">
        <f t="shared" si="1"/>
        <v>17.451309633913098</v>
      </c>
    </row>
    <row r="43" spans="2:6" x14ac:dyDescent="0.2">
      <c r="B43" s="4">
        <v>70</v>
      </c>
      <c r="C43">
        <f t="shared" si="0"/>
        <v>180.042</v>
      </c>
      <c r="D43" s="249">
        <f>MIN((398-C43)/(Config!$D$13-398)*B43,5.9)</f>
        <v>3.9251505016722406</v>
      </c>
      <c r="E43" s="220">
        <f>MIN((390-C43)/(Config!$D$13-390)*B43,5.9)</f>
        <v>3.7733145057766366</v>
      </c>
      <c r="F43">
        <f t="shared" si="1"/>
        <v>17.83371108195157</v>
      </c>
    </row>
    <row r="44" spans="2:6" x14ac:dyDescent="0.2">
      <c r="B44" s="4">
        <v>80</v>
      </c>
      <c r="C44">
        <f t="shared" si="0"/>
        <v>184.95800000000003</v>
      </c>
      <c r="D44" s="249">
        <f>MIN((398-C44)/(Config!$D$13-398)*B44,5.9)</f>
        <v>4.3847080010290709</v>
      </c>
      <c r="E44" s="220">
        <f>MIN((390-C44)/(Config!$D$13-390)*B44,5.9)</f>
        <v>4.2113889602053911</v>
      </c>
      <c r="F44">
        <f t="shared" si="1"/>
        <v>18.245228640361997</v>
      </c>
    </row>
    <row r="45" spans="2:6" x14ac:dyDescent="0.2">
      <c r="B45" s="4">
        <v>90</v>
      </c>
      <c r="C45">
        <f t="shared" si="0"/>
        <v>190.01400000000001</v>
      </c>
      <c r="D45" s="249">
        <f>MIN((398-C45)/(Config!$D$13-398)*B45,5.9)</f>
        <v>4.8157293542577824</v>
      </c>
      <c r="E45" s="220">
        <f>MIN((390-C45)/(Config!$D$13-390)*B45,5.9)</f>
        <v>4.6209858793324772</v>
      </c>
      <c r="F45">
        <f t="shared" si="1"/>
        <v>18.688757897166155</v>
      </c>
    </row>
    <row r="46" spans="2:6" x14ac:dyDescent="0.2">
      <c r="B46" s="4">
        <v>100</v>
      </c>
      <c r="C46">
        <f t="shared" si="0"/>
        <v>195.21</v>
      </c>
      <c r="D46" s="249">
        <f>MIN((398-C46)/(Config!$D$13-398)*B46,5.9)</f>
        <v>5.2171340365320296</v>
      </c>
      <c r="E46" s="220">
        <f>MIN((390-C46)/(Config!$D$13-390)*B46,5.9)</f>
        <v>5.0010269576379978</v>
      </c>
      <c r="F46">
        <f t="shared" si="1"/>
        <v>19.167611815178265</v>
      </c>
    </row>
    <row r="47" spans="2:6" x14ac:dyDescent="0.2">
      <c r="B47" s="4">
        <v>110</v>
      </c>
      <c r="C47">
        <f t="shared" si="0"/>
        <v>200.54600000000002</v>
      </c>
      <c r="D47" s="249">
        <f>MIN((398-C47)/(Config!$D$13-398)*B47,5.9)</f>
        <v>5.5878415230254683</v>
      </c>
      <c r="E47" s="220">
        <f>MIN((390-C47)/(Config!$D$13-390)*B47,5.9)</f>
        <v>5.350433889602054</v>
      </c>
      <c r="F47">
        <f t="shared" si="1"/>
        <v>19.685597658188748</v>
      </c>
    </row>
    <row r="48" spans="2:6" x14ac:dyDescent="0.2">
      <c r="B48" s="4">
        <v>120</v>
      </c>
      <c r="C48">
        <f t="shared" si="0"/>
        <v>206.02200000000002</v>
      </c>
      <c r="D48" s="249">
        <f>MIN((398-C48)/(Config!$D$13-398)*B48,5.9)</f>
        <v>5.9</v>
      </c>
      <c r="E48" s="220">
        <f>MIN((390-C48)/(Config!$D$13-390)*B48,5.9)</f>
        <v>5.6681283697047489</v>
      </c>
      <c r="F48">
        <f>B48/D48</f>
        <v>20.338983050847457</v>
      </c>
    </row>
    <row r="49" spans="2:5" x14ac:dyDescent="0.2">
      <c r="B49" s="4">
        <v>130</v>
      </c>
      <c r="C49">
        <f t="shared" si="0"/>
        <v>211.63800000000001</v>
      </c>
      <c r="D49" s="249">
        <f>MIN((398-C49)/(Config!$D$13-398)*B49,5.9)</f>
        <v>5.9</v>
      </c>
      <c r="E49" s="220">
        <f>MIN((390-C49)/(Config!$D$13-390)*B49,5.9)</f>
        <v>5.9</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A2:F33"/>
  <sheetViews>
    <sheetView zoomScale="85" zoomScaleNormal="85" workbookViewId="0">
      <selection activeCell="V28" sqref="V28"/>
    </sheetView>
  </sheetViews>
  <sheetFormatPr baseColWidth="10" defaultColWidth="9.140625" defaultRowHeight="12.75" x14ac:dyDescent="0.2"/>
  <cols>
    <col min="1" max="1" width="10.85546875" style="154" customWidth="1"/>
    <col min="2" max="2" width="11.28515625" style="154" customWidth="1"/>
    <col min="3" max="4" width="9.140625" style="154"/>
    <col min="5" max="5" width="10.7109375" style="154" bestFit="1" customWidth="1"/>
    <col min="6" max="7" width="9.140625" style="154"/>
    <col min="8" max="8" width="11" style="154" bestFit="1" customWidth="1"/>
    <col min="9" max="256" width="9.140625" style="154"/>
    <col min="257" max="257" width="10.85546875" style="154" customWidth="1"/>
    <col min="258" max="258" width="11.28515625" style="154" customWidth="1"/>
    <col min="259" max="260" width="9.140625" style="154"/>
    <col min="261" max="261" width="10.7109375" style="154" bestFit="1" customWidth="1"/>
    <col min="262" max="263" width="9.140625" style="154"/>
    <col min="264" max="264" width="11" style="154" bestFit="1" customWidth="1"/>
    <col min="265" max="512" width="9.140625" style="154"/>
    <col min="513" max="513" width="10.85546875" style="154" customWidth="1"/>
    <col min="514" max="514" width="11.28515625" style="154" customWidth="1"/>
    <col min="515" max="516" width="9.140625" style="154"/>
    <col min="517" max="517" width="10.7109375" style="154" bestFit="1" customWidth="1"/>
    <col min="518" max="519" width="9.140625" style="154"/>
    <col min="520" max="520" width="11" style="154" bestFit="1" customWidth="1"/>
    <col min="521" max="768" width="9.140625" style="154"/>
    <col min="769" max="769" width="10.85546875" style="154" customWidth="1"/>
    <col min="770" max="770" width="11.28515625" style="154" customWidth="1"/>
    <col min="771" max="772" width="9.140625" style="154"/>
    <col min="773" max="773" width="10.7109375" style="154" bestFit="1" customWidth="1"/>
    <col min="774" max="775" width="9.140625" style="154"/>
    <col min="776" max="776" width="11" style="154" bestFit="1" customWidth="1"/>
    <col min="777" max="1024" width="9.140625" style="154"/>
    <col min="1025" max="1025" width="10.85546875" style="154" customWidth="1"/>
    <col min="1026" max="1026" width="11.28515625" style="154" customWidth="1"/>
    <col min="1027" max="1028" width="9.140625" style="154"/>
    <col min="1029" max="1029" width="10.7109375" style="154" bestFit="1" customWidth="1"/>
    <col min="1030" max="1031" width="9.140625" style="154"/>
    <col min="1032" max="1032" width="11" style="154" bestFit="1" customWidth="1"/>
    <col min="1033" max="1280" width="9.140625" style="154"/>
    <col min="1281" max="1281" width="10.85546875" style="154" customWidth="1"/>
    <col min="1282" max="1282" width="11.28515625" style="154" customWidth="1"/>
    <col min="1283" max="1284" width="9.140625" style="154"/>
    <col min="1285" max="1285" width="10.7109375" style="154" bestFit="1" customWidth="1"/>
    <col min="1286" max="1287" width="9.140625" style="154"/>
    <col min="1288" max="1288" width="11" style="154" bestFit="1" customWidth="1"/>
    <col min="1289" max="1536" width="9.140625" style="154"/>
    <col min="1537" max="1537" width="10.85546875" style="154" customWidth="1"/>
    <col min="1538" max="1538" width="11.28515625" style="154" customWidth="1"/>
    <col min="1539" max="1540" width="9.140625" style="154"/>
    <col min="1541" max="1541" width="10.7109375" style="154" bestFit="1" customWidth="1"/>
    <col min="1542" max="1543" width="9.140625" style="154"/>
    <col min="1544" max="1544" width="11" style="154" bestFit="1" customWidth="1"/>
    <col min="1545" max="1792" width="9.140625" style="154"/>
    <col min="1793" max="1793" width="10.85546875" style="154" customWidth="1"/>
    <col min="1794" max="1794" width="11.28515625" style="154" customWidth="1"/>
    <col min="1795" max="1796" width="9.140625" style="154"/>
    <col min="1797" max="1797" width="10.7109375" style="154" bestFit="1" customWidth="1"/>
    <col min="1798" max="1799" width="9.140625" style="154"/>
    <col min="1800" max="1800" width="11" style="154" bestFit="1" customWidth="1"/>
    <col min="1801" max="2048" width="9.140625" style="154"/>
    <col min="2049" max="2049" width="10.85546875" style="154" customWidth="1"/>
    <col min="2050" max="2050" width="11.28515625" style="154" customWidth="1"/>
    <col min="2051" max="2052" width="9.140625" style="154"/>
    <col min="2053" max="2053" width="10.7109375" style="154" bestFit="1" customWidth="1"/>
    <col min="2054" max="2055" width="9.140625" style="154"/>
    <col min="2056" max="2056" width="11" style="154" bestFit="1" customWidth="1"/>
    <col min="2057" max="2304" width="9.140625" style="154"/>
    <col min="2305" max="2305" width="10.85546875" style="154" customWidth="1"/>
    <col min="2306" max="2306" width="11.28515625" style="154" customWidth="1"/>
    <col min="2307" max="2308" width="9.140625" style="154"/>
    <col min="2309" max="2309" width="10.7109375" style="154" bestFit="1" customWidth="1"/>
    <col min="2310" max="2311" width="9.140625" style="154"/>
    <col min="2312" max="2312" width="11" style="154" bestFit="1" customWidth="1"/>
    <col min="2313" max="2560" width="9.140625" style="154"/>
    <col min="2561" max="2561" width="10.85546875" style="154" customWidth="1"/>
    <col min="2562" max="2562" width="11.28515625" style="154" customWidth="1"/>
    <col min="2563" max="2564" width="9.140625" style="154"/>
    <col min="2565" max="2565" width="10.7109375" style="154" bestFit="1" customWidth="1"/>
    <col min="2566" max="2567" width="9.140625" style="154"/>
    <col min="2568" max="2568" width="11" style="154" bestFit="1" customWidth="1"/>
    <col min="2569" max="2816" width="9.140625" style="154"/>
    <col min="2817" max="2817" width="10.85546875" style="154" customWidth="1"/>
    <col min="2818" max="2818" width="11.28515625" style="154" customWidth="1"/>
    <col min="2819" max="2820" width="9.140625" style="154"/>
    <col min="2821" max="2821" width="10.7109375" style="154" bestFit="1" customWidth="1"/>
    <col min="2822" max="2823" width="9.140625" style="154"/>
    <col min="2824" max="2824" width="11" style="154" bestFit="1" customWidth="1"/>
    <col min="2825" max="3072" width="9.140625" style="154"/>
    <col min="3073" max="3073" width="10.85546875" style="154" customWidth="1"/>
    <col min="3074" max="3074" width="11.28515625" style="154" customWidth="1"/>
    <col min="3075" max="3076" width="9.140625" style="154"/>
    <col min="3077" max="3077" width="10.7109375" style="154" bestFit="1" customWidth="1"/>
    <col min="3078" max="3079" width="9.140625" style="154"/>
    <col min="3080" max="3080" width="11" style="154" bestFit="1" customWidth="1"/>
    <col min="3081" max="3328" width="9.140625" style="154"/>
    <col min="3329" max="3329" width="10.85546875" style="154" customWidth="1"/>
    <col min="3330" max="3330" width="11.28515625" style="154" customWidth="1"/>
    <col min="3331" max="3332" width="9.140625" style="154"/>
    <col min="3333" max="3333" width="10.7109375" style="154" bestFit="1" customWidth="1"/>
    <col min="3334" max="3335" width="9.140625" style="154"/>
    <col min="3336" max="3336" width="11" style="154" bestFit="1" customWidth="1"/>
    <col min="3337" max="3584" width="9.140625" style="154"/>
    <col min="3585" max="3585" width="10.85546875" style="154" customWidth="1"/>
    <col min="3586" max="3586" width="11.28515625" style="154" customWidth="1"/>
    <col min="3587" max="3588" width="9.140625" style="154"/>
    <col min="3589" max="3589" width="10.7109375" style="154" bestFit="1" customWidth="1"/>
    <col min="3590" max="3591" width="9.140625" style="154"/>
    <col min="3592" max="3592" width="11" style="154" bestFit="1" customWidth="1"/>
    <col min="3593" max="3840" width="9.140625" style="154"/>
    <col min="3841" max="3841" width="10.85546875" style="154" customWidth="1"/>
    <col min="3842" max="3842" width="11.28515625" style="154" customWidth="1"/>
    <col min="3843" max="3844" width="9.140625" style="154"/>
    <col min="3845" max="3845" width="10.7109375" style="154" bestFit="1" customWidth="1"/>
    <col min="3846" max="3847" width="9.140625" style="154"/>
    <col min="3848" max="3848" width="11" style="154" bestFit="1" customWidth="1"/>
    <col min="3849" max="4096" width="9.140625" style="154"/>
    <col min="4097" max="4097" width="10.85546875" style="154" customWidth="1"/>
    <col min="4098" max="4098" width="11.28515625" style="154" customWidth="1"/>
    <col min="4099" max="4100" width="9.140625" style="154"/>
    <col min="4101" max="4101" width="10.7109375" style="154" bestFit="1" customWidth="1"/>
    <col min="4102" max="4103" width="9.140625" style="154"/>
    <col min="4104" max="4104" width="11" style="154" bestFit="1" customWidth="1"/>
    <col min="4105" max="4352" width="9.140625" style="154"/>
    <col min="4353" max="4353" width="10.85546875" style="154" customWidth="1"/>
    <col min="4354" max="4354" width="11.28515625" style="154" customWidth="1"/>
    <col min="4355" max="4356" width="9.140625" style="154"/>
    <col min="4357" max="4357" width="10.7109375" style="154" bestFit="1" customWidth="1"/>
    <col min="4358" max="4359" width="9.140625" style="154"/>
    <col min="4360" max="4360" width="11" style="154" bestFit="1" customWidth="1"/>
    <col min="4361" max="4608" width="9.140625" style="154"/>
    <col min="4609" max="4609" width="10.85546875" style="154" customWidth="1"/>
    <col min="4610" max="4610" width="11.28515625" style="154" customWidth="1"/>
    <col min="4611" max="4612" width="9.140625" style="154"/>
    <col min="4613" max="4613" width="10.7109375" style="154" bestFit="1" customWidth="1"/>
    <col min="4614" max="4615" width="9.140625" style="154"/>
    <col min="4616" max="4616" width="11" style="154" bestFit="1" customWidth="1"/>
    <col min="4617" max="4864" width="9.140625" style="154"/>
    <col min="4865" max="4865" width="10.85546875" style="154" customWidth="1"/>
    <col min="4866" max="4866" width="11.28515625" style="154" customWidth="1"/>
    <col min="4867" max="4868" width="9.140625" style="154"/>
    <col min="4869" max="4869" width="10.7109375" style="154" bestFit="1" customWidth="1"/>
    <col min="4870" max="4871" width="9.140625" style="154"/>
    <col min="4872" max="4872" width="11" style="154" bestFit="1" customWidth="1"/>
    <col min="4873" max="5120" width="9.140625" style="154"/>
    <col min="5121" max="5121" width="10.85546875" style="154" customWidth="1"/>
    <col min="5122" max="5122" width="11.28515625" style="154" customWidth="1"/>
    <col min="5123" max="5124" width="9.140625" style="154"/>
    <col min="5125" max="5125" width="10.7109375" style="154" bestFit="1" customWidth="1"/>
    <col min="5126" max="5127" width="9.140625" style="154"/>
    <col min="5128" max="5128" width="11" style="154" bestFit="1" customWidth="1"/>
    <col min="5129" max="5376" width="9.140625" style="154"/>
    <col min="5377" max="5377" width="10.85546875" style="154" customWidth="1"/>
    <col min="5378" max="5378" width="11.28515625" style="154" customWidth="1"/>
    <col min="5379" max="5380" width="9.140625" style="154"/>
    <col min="5381" max="5381" width="10.7109375" style="154" bestFit="1" customWidth="1"/>
    <col min="5382" max="5383" width="9.140625" style="154"/>
    <col min="5384" max="5384" width="11" style="154" bestFit="1" customWidth="1"/>
    <col min="5385" max="5632" width="9.140625" style="154"/>
    <col min="5633" max="5633" width="10.85546875" style="154" customWidth="1"/>
    <col min="5634" max="5634" width="11.28515625" style="154" customWidth="1"/>
    <col min="5635" max="5636" width="9.140625" style="154"/>
    <col min="5637" max="5637" width="10.7109375" style="154" bestFit="1" customWidth="1"/>
    <col min="5638" max="5639" width="9.140625" style="154"/>
    <col min="5640" max="5640" width="11" style="154" bestFit="1" customWidth="1"/>
    <col min="5641" max="5888" width="9.140625" style="154"/>
    <col min="5889" max="5889" width="10.85546875" style="154" customWidth="1"/>
    <col min="5890" max="5890" width="11.28515625" style="154" customWidth="1"/>
    <col min="5891" max="5892" width="9.140625" style="154"/>
    <col min="5893" max="5893" width="10.7109375" style="154" bestFit="1" customWidth="1"/>
    <col min="5894" max="5895" width="9.140625" style="154"/>
    <col min="5896" max="5896" width="11" style="154" bestFit="1" customWidth="1"/>
    <col min="5897" max="6144" width="9.140625" style="154"/>
    <col min="6145" max="6145" width="10.85546875" style="154" customWidth="1"/>
    <col min="6146" max="6146" width="11.28515625" style="154" customWidth="1"/>
    <col min="6147" max="6148" width="9.140625" style="154"/>
    <col min="6149" max="6149" width="10.7109375" style="154" bestFit="1" customWidth="1"/>
    <col min="6150" max="6151" width="9.140625" style="154"/>
    <col min="6152" max="6152" width="11" style="154" bestFit="1" customWidth="1"/>
    <col min="6153" max="6400" width="9.140625" style="154"/>
    <col min="6401" max="6401" width="10.85546875" style="154" customWidth="1"/>
    <col min="6402" max="6402" width="11.28515625" style="154" customWidth="1"/>
    <col min="6403" max="6404" width="9.140625" style="154"/>
    <col min="6405" max="6405" width="10.7109375" style="154" bestFit="1" customWidth="1"/>
    <col min="6406" max="6407" width="9.140625" style="154"/>
    <col min="6408" max="6408" width="11" style="154" bestFit="1" customWidth="1"/>
    <col min="6409" max="6656" width="9.140625" style="154"/>
    <col min="6657" max="6657" width="10.85546875" style="154" customWidth="1"/>
    <col min="6658" max="6658" width="11.28515625" style="154" customWidth="1"/>
    <col min="6659" max="6660" width="9.140625" style="154"/>
    <col min="6661" max="6661" width="10.7109375" style="154" bestFit="1" customWidth="1"/>
    <col min="6662" max="6663" width="9.140625" style="154"/>
    <col min="6664" max="6664" width="11" style="154" bestFit="1" customWidth="1"/>
    <col min="6665" max="6912" width="9.140625" style="154"/>
    <col min="6913" max="6913" width="10.85546875" style="154" customWidth="1"/>
    <col min="6914" max="6914" width="11.28515625" style="154" customWidth="1"/>
    <col min="6915" max="6916" width="9.140625" style="154"/>
    <col min="6917" max="6917" width="10.7109375" style="154" bestFit="1" customWidth="1"/>
    <col min="6918" max="6919" width="9.140625" style="154"/>
    <col min="6920" max="6920" width="11" style="154" bestFit="1" customWidth="1"/>
    <col min="6921" max="7168" width="9.140625" style="154"/>
    <col min="7169" max="7169" width="10.85546875" style="154" customWidth="1"/>
    <col min="7170" max="7170" width="11.28515625" style="154" customWidth="1"/>
    <col min="7171" max="7172" width="9.140625" style="154"/>
    <col min="7173" max="7173" width="10.7109375" style="154" bestFit="1" customWidth="1"/>
    <col min="7174" max="7175" width="9.140625" style="154"/>
    <col min="7176" max="7176" width="11" style="154" bestFit="1" customWidth="1"/>
    <col min="7177" max="7424" width="9.140625" style="154"/>
    <col min="7425" max="7425" width="10.85546875" style="154" customWidth="1"/>
    <col min="7426" max="7426" width="11.28515625" style="154" customWidth="1"/>
    <col min="7427" max="7428" width="9.140625" style="154"/>
    <col min="7429" max="7429" width="10.7109375" style="154" bestFit="1" customWidth="1"/>
    <col min="7430" max="7431" width="9.140625" style="154"/>
    <col min="7432" max="7432" width="11" style="154" bestFit="1" customWidth="1"/>
    <col min="7433" max="7680" width="9.140625" style="154"/>
    <col min="7681" max="7681" width="10.85546875" style="154" customWidth="1"/>
    <col min="7682" max="7682" width="11.28515625" style="154" customWidth="1"/>
    <col min="7683" max="7684" width="9.140625" style="154"/>
    <col min="7685" max="7685" width="10.7109375" style="154" bestFit="1" customWidth="1"/>
    <col min="7686" max="7687" width="9.140625" style="154"/>
    <col min="7688" max="7688" width="11" style="154" bestFit="1" customWidth="1"/>
    <col min="7689" max="7936" width="9.140625" style="154"/>
    <col min="7937" max="7937" width="10.85546875" style="154" customWidth="1"/>
    <col min="7938" max="7938" width="11.28515625" style="154" customWidth="1"/>
    <col min="7939" max="7940" width="9.140625" style="154"/>
    <col min="7941" max="7941" width="10.7109375" style="154" bestFit="1" customWidth="1"/>
    <col min="7942" max="7943" width="9.140625" style="154"/>
    <col min="7944" max="7944" width="11" style="154" bestFit="1" customWidth="1"/>
    <col min="7945" max="8192" width="9.140625" style="154"/>
    <col min="8193" max="8193" width="10.85546875" style="154" customWidth="1"/>
    <col min="8194" max="8194" width="11.28515625" style="154" customWidth="1"/>
    <col min="8195" max="8196" width="9.140625" style="154"/>
    <col min="8197" max="8197" width="10.7109375" style="154" bestFit="1" customWidth="1"/>
    <col min="8198" max="8199" width="9.140625" style="154"/>
    <col min="8200" max="8200" width="11" style="154" bestFit="1" customWidth="1"/>
    <col min="8201" max="8448" width="9.140625" style="154"/>
    <col min="8449" max="8449" width="10.85546875" style="154" customWidth="1"/>
    <col min="8450" max="8450" width="11.28515625" style="154" customWidth="1"/>
    <col min="8451" max="8452" width="9.140625" style="154"/>
    <col min="8453" max="8453" width="10.7109375" style="154" bestFit="1" customWidth="1"/>
    <col min="8454" max="8455" width="9.140625" style="154"/>
    <col min="8456" max="8456" width="11" style="154" bestFit="1" customWidth="1"/>
    <col min="8457" max="8704" width="9.140625" style="154"/>
    <col min="8705" max="8705" width="10.85546875" style="154" customWidth="1"/>
    <col min="8706" max="8706" width="11.28515625" style="154" customWidth="1"/>
    <col min="8707" max="8708" width="9.140625" style="154"/>
    <col min="8709" max="8709" width="10.7109375" style="154" bestFit="1" customWidth="1"/>
    <col min="8710" max="8711" width="9.140625" style="154"/>
    <col min="8712" max="8712" width="11" style="154" bestFit="1" customWidth="1"/>
    <col min="8713" max="8960" width="9.140625" style="154"/>
    <col min="8961" max="8961" width="10.85546875" style="154" customWidth="1"/>
    <col min="8962" max="8962" width="11.28515625" style="154" customWidth="1"/>
    <col min="8963" max="8964" width="9.140625" style="154"/>
    <col min="8965" max="8965" width="10.7109375" style="154" bestFit="1" customWidth="1"/>
    <col min="8966" max="8967" width="9.140625" style="154"/>
    <col min="8968" max="8968" width="11" style="154" bestFit="1" customWidth="1"/>
    <col min="8969" max="9216" width="9.140625" style="154"/>
    <col min="9217" max="9217" width="10.85546875" style="154" customWidth="1"/>
    <col min="9218" max="9218" width="11.28515625" style="154" customWidth="1"/>
    <col min="9219" max="9220" width="9.140625" style="154"/>
    <col min="9221" max="9221" width="10.7109375" style="154" bestFit="1" customWidth="1"/>
    <col min="9222" max="9223" width="9.140625" style="154"/>
    <col min="9224" max="9224" width="11" style="154" bestFit="1" customWidth="1"/>
    <col min="9225" max="9472" width="9.140625" style="154"/>
    <col min="9473" max="9473" width="10.85546875" style="154" customWidth="1"/>
    <col min="9474" max="9474" width="11.28515625" style="154" customWidth="1"/>
    <col min="9475" max="9476" width="9.140625" style="154"/>
    <col min="9477" max="9477" width="10.7109375" style="154" bestFit="1" customWidth="1"/>
    <col min="9478" max="9479" width="9.140625" style="154"/>
    <col min="9480" max="9480" width="11" style="154" bestFit="1" customWidth="1"/>
    <col min="9481" max="9728" width="9.140625" style="154"/>
    <col min="9729" max="9729" width="10.85546875" style="154" customWidth="1"/>
    <col min="9730" max="9730" width="11.28515625" style="154" customWidth="1"/>
    <col min="9731" max="9732" width="9.140625" style="154"/>
    <col min="9733" max="9733" width="10.7109375" style="154" bestFit="1" customWidth="1"/>
    <col min="9734" max="9735" width="9.140625" style="154"/>
    <col min="9736" max="9736" width="11" style="154" bestFit="1" customWidth="1"/>
    <col min="9737" max="9984" width="9.140625" style="154"/>
    <col min="9985" max="9985" width="10.85546875" style="154" customWidth="1"/>
    <col min="9986" max="9986" width="11.28515625" style="154" customWidth="1"/>
    <col min="9987" max="9988" width="9.140625" style="154"/>
    <col min="9989" max="9989" width="10.7109375" style="154" bestFit="1" customWidth="1"/>
    <col min="9990" max="9991" width="9.140625" style="154"/>
    <col min="9992" max="9992" width="11" style="154" bestFit="1" customWidth="1"/>
    <col min="9993" max="10240" width="9.140625" style="154"/>
    <col min="10241" max="10241" width="10.85546875" style="154" customWidth="1"/>
    <col min="10242" max="10242" width="11.28515625" style="154" customWidth="1"/>
    <col min="10243" max="10244" width="9.140625" style="154"/>
    <col min="10245" max="10245" width="10.7109375" style="154" bestFit="1" customWidth="1"/>
    <col min="10246" max="10247" width="9.140625" style="154"/>
    <col min="10248" max="10248" width="11" style="154" bestFit="1" customWidth="1"/>
    <col min="10249" max="10496" width="9.140625" style="154"/>
    <col min="10497" max="10497" width="10.85546875" style="154" customWidth="1"/>
    <col min="10498" max="10498" width="11.28515625" style="154" customWidth="1"/>
    <col min="10499" max="10500" width="9.140625" style="154"/>
    <col min="10501" max="10501" width="10.7109375" style="154" bestFit="1" customWidth="1"/>
    <col min="10502" max="10503" width="9.140625" style="154"/>
    <col min="10504" max="10504" width="11" style="154" bestFit="1" customWidth="1"/>
    <col min="10505" max="10752" width="9.140625" style="154"/>
    <col min="10753" max="10753" width="10.85546875" style="154" customWidth="1"/>
    <col min="10754" max="10754" width="11.28515625" style="154" customWidth="1"/>
    <col min="10755" max="10756" width="9.140625" style="154"/>
    <col min="10757" max="10757" width="10.7109375" style="154" bestFit="1" customWidth="1"/>
    <col min="10758" max="10759" width="9.140625" style="154"/>
    <col min="10760" max="10760" width="11" style="154" bestFit="1" customWidth="1"/>
    <col min="10761" max="11008" width="9.140625" style="154"/>
    <col min="11009" max="11009" width="10.85546875" style="154" customWidth="1"/>
    <col min="11010" max="11010" width="11.28515625" style="154" customWidth="1"/>
    <col min="11011" max="11012" width="9.140625" style="154"/>
    <col min="11013" max="11013" width="10.7109375" style="154" bestFit="1" customWidth="1"/>
    <col min="11014" max="11015" width="9.140625" style="154"/>
    <col min="11016" max="11016" width="11" style="154" bestFit="1" customWidth="1"/>
    <col min="11017" max="11264" width="9.140625" style="154"/>
    <col min="11265" max="11265" width="10.85546875" style="154" customWidth="1"/>
    <col min="11266" max="11266" width="11.28515625" style="154" customWidth="1"/>
    <col min="11267" max="11268" width="9.140625" style="154"/>
    <col min="11269" max="11269" width="10.7109375" style="154" bestFit="1" customWidth="1"/>
    <col min="11270" max="11271" width="9.140625" style="154"/>
    <col min="11272" max="11272" width="11" style="154" bestFit="1" customWidth="1"/>
    <col min="11273" max="11520" width="9.140625" style="154"/>
    <col min="11521" max="11521" width="10.85546875" style="154" customWidth="1"/>
    <col min="11522" max="11522" width="11.28515625" style="154" customWidth="1"/>
    <col min="11523" max="11524" width="9.140625" style="154"/>
    <col min="11525" max="11525" width="10.7109375" style="154" bestFit="1" customWidth="1"/>
    <col min="11526" max="11527" width="9.140625" style="154"/>
    <col min="11528" max="11528" width="11" style="154" bestFit="1" customWidth="1"/>
    <col min="11529" max="11776" width="9.140625" style="154"/>
    <col min="11777" max="11777" width="10.85546875" style="154" customWidth="1"/>
    <col min="11778" max="11778" width="11.28515625" style="154" customWidth="1"/>
    <col min="11779" max="11780" width="9.140625" style="154"/>
    <col min="11781" max="11781" width="10.7109375" style="154" bestFit="1" customWidth="1"/>
    <col min="11782" max="11783" width="9.140625" style="154"/>
    <col min="11784" max="11784" width="11" style="154" bestFit="1" customWidth="1"/>
    <col min="11785" max="12032" width="9.140625" style="154"/>
    <col min="12033" max="12033" width="10.85546875" style="154" customWidth="1"/>
    <col min="12034" max="12034" width="11.28515625" style="154" customWidth="1"/>
    <col min="12035" max="12036" width="9.140625" style="154"/>
    <col min="12037" max="12037" width="10.7109375" style="154" bestFit="1" customWidth="1"/>
    <col min="12038" max="12039" width="9.140625" style="154"/>
    <col min="12040" max="12040" width="11" style="154" bestFit="1" customWidth="1"/>
    <col min="12041" max="12288" width="9.140625" style="154"/>
    <col min="12289" max="12289" width="10.85546875" style="154" customWidth="1"/>
    <col min="12290" max="12290" width="11.28515625" style="154" customWidth="1"/>
    <col min="12291" max="12292" width="9.140625" style="154"/>
    <col min="12293" max="12293" width="10.7109375" style="154" bestFit="1" customWidth="1"/>
    <col min="12294" max="12295" width="9.140625" style="154"/>
    <col min="12296" max="12296" width="11" style="154" bestFit="1" customWidth="1"/>
    <col min="12297" max="12544" width="9.140625" style="154"/>
    <col min="12545" max="12545" width="10.85546875" style="154" customWidth="1"/>
    <col min="12546" max="12546" width="11.28515625" style="154" customWidth="1"/>
    <col min="12547" max="12548" width="9.140625" style="154"/>
    <col min="12549" max="12549" width="10.7109375" style="154" bestFit="1" customWidth="1"/>
    <col min="12550" max="12551" width="9.140625" style="154"/>
    <col min="12552" max="12552" width="11" style="154" bestFit="1" customWidth="1"/>
    <col min="12553" max="12800" width="9.140625" style="154"/>
    <col min="12801" max="12801" width="10.85546875" style="154" customWidth="1"/>
    <col min="12802" max="12802" width="11.28515625" style="154" customWidth="1"/>
    <col min="12803" max="12804" width="9.140625" style="154"/>
    <col min="12805" max="12805" width="10.7109375" style="154" bestFit="1" customWidth="1"/>
    <col min="12806" max="12807" width="9.140625" style="154"/>
    <col min="12808" max="12808" width="11" style="154" bestFit="1" customWidth="1"/>
    <col min="12809" max="13056" width="9.140625" style="154"/>
    <col min="13057" max="13057" width="10.85546875" style="154" customWidth="1"/>
    <col min="13058" max="13058" width="11.28515625" style="154" customWidth="1"/>
    <col min="13059" max="13060" width="9.140625" style="154"/>
    <col min="13061" max="13061" width="10.7109375" style="154" bestFit="1" customWidth="1"/>
    <col min="13062" max="13063" width="9.140625" style="154"/>
    <col min="13064" max="13064" width="11" style="154" bestFit="1" customWidth="1"/>
    <col min="13065" max="13312" width="9.140625" style="154"/>
    <col min="13313" max="13313" width="10.85546875" style="154" customWidth="1"/>
    <col min="13314" max="13314" width="11.28515625" style="154" customWidth="1"/>
    <col min="13315" max="13316" width="9.140625" style="154"/>
    <col min="13317" max="13317" width="10.7109375" style="154" bestFit="1" customWidth="1"/>
    <col min="13318" max="13319" width="9.140625" style="154"/>
    <col min="13320" max="13320" width="11" style="154" bestFit="1" customWidth="1"/>
    <col min="13321" max="13568" width="9.140625" style="154"/>
    <col min="13569" max="13569" width="10.85546875" style="154" customWidth="1"/>
    <col min="13570" max="13570" width="11.28515625" style="154" customWidth="1"/>
    <col min="13571" max="13572" width="9.140625" style="154"/>
    <col min="13573" max="13573" width="10.7109375" style="154" bestFit="1" customWidth="1"/>
    <col min="13574" max="13575" width="9.140625" style="154"/>
    <col min="13576" max="13576" width="11" style="154" bestFit="1" customWidth="1"/>
    <col min="13577" max="13824" width="9.140625" style="154"/>
    <col min="13825" max="13825" width="10.85546875" style="154" customWidth="1"/>
    <col min="13826" max="13826" width="11.28515625" style="154" customWidth="1"/>
    <col min="13827" max="13828" width="9.140625" style="154"/>
    <col min="13829" max="13829" width="10.7109375" style="154" bestFit="1" customWidth="1"/>
    <col min="13830" max="13831" width="9.140625" style="154"/>
    <col min="13832" max="13832" width="11" style="154" bestFit="1" customWidth="1"/>
    <col min="13833" max="14080" width="9.140625" style="154"/>
    <col min="14081" max="14081" width="10.85546875" style="154" customWidth="1"/>
    <col min="14082" max="14082" width="11.28515625" style="154" customWidth="1"/>
    <col min="14083" max="14084" width="9.140625" style="154"/>
    <col min="14085" max="14085" width="10.7109375" style="154" bestFit="1" customWidth="1"/>
    <col min="14086" max="14087" width="9.140625" style="154"/>
    <col min="14088" max="14088" width="11" style="154" bestFit="1" customWidth="1"/>
    <col min="14089" max="14336" width="9.140625" style="154"/>
    <col min="14337" max="14337" width="10.85546875" style="154" customWidth="1"/>
    <col min="14338" max="14338" width="11.28515625" style="154" customWidth="1"/>
    <col min="14339" max="14340" width="9.140625" style="154"/>
    <col min="14341" max="14341" width="10.7109375" style="154" bestFit="1" customWidth="1"/>
    <col min="14342" max="14343" width="9.140625" style="154"/>
    <col min="14344" max="14344" width="11" style="154" bestFit="1" customWidth="1"/>
    <col min="14345" max="14592" width="9.140625" style="154"/>
    <col min="14593" max="14593" width="10.85546875" style="154" customWidth="1"/>
    <col min="14594" max="14594" width="11.28515625" style="154" customWidth="1"/>
    <col min="14595" max="14596" width="9.140625" style="154"/>
    <col min="14597" max="14597" width="10.7109375" style="154" bestFit="1" customWidth="1"/>
    <col min="14598" max="14599" width="9.140625" style="154"/>
    <col min="14600" max="14600" width="11" style="154" bestFit="1" customWidth="1"/>
    <col min="14601" max="14848" width="9.140625" style="154"/>
    <col min="14849" max="14849" width="10.85546875" style="154" customWidth="1"/>
    <col min="14850" max="14850" width="11.28515625" style="154" customWidth="1"/>
    <col min="14851" max="14852" width="9.140625" style="154"/>
    <col min="14853" max="14853" width="10.7109375" style="154" bestFit="1" customWidth="1"/>
    <col min="14854" max="14855" width="9.140625" style="154"/>
    <col min="14856" max="14856" width="11" style="154" bestFit="1" customWidth="1"/>
    <col min="14857" max="15104" width="9.140625" style="154"/>
    <col min="15105" max="15105" width="10.85546875" style="154" customWidth="1"/>
    <col min="15106" max="15106" width="11.28515625" style="154" customWidth="1"/>
    <col min="15107" max="15108" width="9.140625" style="154"/>
    <col min="15109" max="15109" width="10.7109375" style="154" bestFit="1" customWidth="1"/>
    <col min="15110" max="15111" width="9.140625" style="154"/>
    <col min="15112" max="15112" width="11" style="154" bestFit="1" customWidth="1"/>
    <col min="15113" max="15360" width="9.140625" style="154"/>
    <col min="15361" max="15361" width="10.85546875" style="154" customWidth="1"/>
    <col min="15362" max="15362" width="11.28515625" style="154" customWidth="1"/>
    <col min="15363" max="15364" width="9.140625" style="154"/>
    <col min="15365" max="15365" width="10.7109375" style="154" bestFit="1" customWidth="1"/>
    <col min="15366" max="15367" width="9.140625" style="154"/>
    <col min="15368" max="15368" width="11" style="154" bestFit="1" customWidth="1"/>
    <col min="15369" max="15616" width="9.140625" style="154"/>
    <col min="15617" max="15617" width="10.85546875" style="154" customWidth="1"/>
    <col min="15618" max="15618" width="11.28515625" style="154" customWidth="1"/>
    <col min="15619" max="15620" width="9.140625" style="154"/>
    <col min="15621" max="15621" width="10.7109375" style="154" bestFit="1" customWidth="1"/>
    <col min="15622" max="15623" width="9.140625" style="154"/>
    <col min="15624" max="15624" width="11" style="154" bestFit="1" customWidth="1"/>
    <col min="15625" max="15872" width="9.140625" style="154"/>
    <col min="15873" max="15873" width="10.85546875" style="154" customWidth="1"/>
    <col min="15874" max="15874" width="11.28515625" style="154" customWidth="1"/>
    <col min="15875" max="15876" width="9.140625" style="154"/>
    <col min="15877" max="15877" width="10.7109375" style="154" bestFit="1" customWidth="1"/>
    <col min="15878" max="15879" width="9.140625" style="154"/>
    <col min="15880" max="15880" width="11" style="154" bestFit="1" customWidth="1"/>
    <col min="15881" max="16128" width="9.140625" style="154"/>
    <col min="16129" max="16129" width="10.85546875" style="154" customWidth="1"/>
    <col min="16130" max="16130" width="11.28515625" style="154" customWidth="1"/>
    <col min="16131" max="16132" width="9.140625" style="154"/>
    <col min="16133" max="16133" width="10.7109375" style="154" bestFit="1" customWidth="1"/>
    <col min="16134" max="16135" width="9.140625" style="154"/>
    <col min="16136" max="16136" width="11" style="154" bestFit="1" customWidth="1"/>
    <col min="16137" max="16384" width="9.140625" style="154"/>
  </cols>
  <sheetData>
    <row r="2" spans="1:6" x14ac:dyDescent="0.2">
      <c r="A2" s="410" t="s">
        <v>127</v>
      </c>
      <c r="B2" s="410" t="s">
        <v>128</v>
      </c>
      <c r="D2" s="334" t="s">
        <v>131</v>
      </c>
      <c r="E2" s="154">
        <v>160</v>
      </c>
      <c r="F2" s="154">
        <f>-1.71511793130427E-10*E2^6+9.50302625981645E-08*E2^5-0.000020616514935014*E2^4+0.00226864992823323*E2^3-0.138637060615541*E2^2+4.57788786636922*E2+195.415953292905</f>
        <v>247.07500190346957</v>
      </c>
    </row>
    <row r="3" spans="1:6" ht="15" x14ac:dyDescent="0.25">
      <c r="A3" s="411">
        <v>1.472</v>
      </c>
      <c r="B3" s="411">
        <v>170.20000000000027</v>
      </c>
      <c r="D3" s="411">
        <f>153.465346534654*A3 - 55.7009900990091</f>
        <v>170.20000000000161</v>
      </c>
      <c r="E3" s="154">
        <v>1.6</v>
      </c>
      <c r="F3" s="154">
        <f>153.465346534654*E3 - 55.7009900990091</f>
        <v>189.84356435643733</v>
      </c>
    </row>
    <row r="4" spans="1:6" ht="15" x14ac:dyDescent="0.25">
      <c r="A4" s="411">
        <v>1.6739999999999999</v>
      </c>
      <c r="B4" s="411">
        <v>201.20000000000027</v>
      </c>
      <c r="D4" s="411">
        <f t="shared" ref="D4:D33" si="0">-1.71511793130427E-10*A4^6+9.50302625981645E-08*A4^5-0.000020616514935014*A4^4+0.00226864992823323*A4^3-0.138637060615541*A4^2+4.57788786636922*A4+195.415953292905</f>
        <v>202.70131988218068</v>
      </c>
    </row>
    <row r="5" spans="1:6" ht="15" x14ac:dyDescent="0.25">
      <c r="A5" s="411">
        <v>5.4779999999999998</v>
      </c>
      <c r="B5" s="411">
        <v>218.91000000000031</v>
      </c>
      <c r="D5" s="411">
        <f t="shared" si="0"/>
        <v>216.6881691640244</v>
      </c>
    </row>
    <row r="6" spans="1:6" ht="15" x14ac:dyDescent="0.25">
      <c r="A6" s="411">
        <v>13.032</v>
      </c>
      <c r="B6" s="411">
        <v>235.96000000000004</v>
      </c>
      <c r="D6" s="411">
        <f t="shared" si="0"/>
        <v>235.99119077262611</v>
      </c>
    </row>
    <row r="7" spans="1:6" ht="15" x14ac:dyDescent="0.25">
      <c r="A7" s="411">
        <v>23.3</v>
      </c>
      <c r="B7" s="411">
        <v>248.91000000000031</v>
      </c>
      <c r="D7" s="411">
        <f t="shared" si="0"/>
        <v>250.06183682009913</v>
      </c>
    </row>
    <row r="8" spans="1:6" ht="15" x14ac:dyDescent="0.25">
      <c r="A8" s="411">
        <v>35.6</v>
      </c>
      <c r="B8" s="411">
        <v>257.15000000000009</v>
      </c>
      <c r="D8" s="411">
        <f t="shared" si="0"/>
        <v>257.01317342789241</v>
      </c>
    </row>
    <row r="9" spans="1:6" ht="15" x14ac:dyDescent="0.25">
      <c r="A9" s="411">
        <v>48.54</v>
      </c>
      <c r="B9" s="411">
        <v>259.68000000000029</v>
      </c>
      <c r="D9" s="411">
        <f t="shared" si="0"/>
        <v>259.35149260856156</v>
      </c>
    </row>
    <row r="10" spans="1:6" ht="15" x14ac:dyDescent="0.25">
      <c r="A10" s="411">
        <v>73.819999999999993</v>
      </c>
      <c r="B10" s="411">
        <v>259.0300000000002</v>
      </c>
      <c r="D10" s="411">
        <f t="shared" si="0"/>
        <v>258.82735450574984</v>
      </c>
    </row>
    <row r="11" spans="1:6" ht="15" x14ac:dyDescent="0.25">
      <c r="A11" s="411">
        <v>84.72</v>
      </c>
      <c r="B11" s="411">
        <v>257.15000000000009</v>
      </c>
      <c r="D11" s="411">
        <f t="shared" si="0"/>
        <v>256.95463548651327</v>
      </c>
    </row>
    <row r="12" spans="1:6" ht="15" x14ac:dyDescent="0.25">
      <c r="A12" s="411">
        <v>94.24</v>
      </c>
      <c r="B12" s="411">
        <v>254.47000000000025</v>
      </c>
      <c r="D12" s="411">
        <f t="shared" si="0"/>
        <v>254.45069723242182</v>
      </c>
    </row>
    <row r="13" spans="1:6" ht="15" x14ac:dyDescent="0.25">
      <c r="A13" s="411">
        <v>102.48</v>
      </c>
      <c r="B13" s="411">
        <v>251.42000000000007</v>
      </c>
      <c r="D13" s="411">
        <f t="shared" si="0"/>
        <v>251.79007980933432</v>
      </c>
    </row>
    <row r="14" spans="1:6" ht="15" x14ac:dyDescent="0.25">
      <c r="A14" s="411">
        <v>109.94</v>
      </c>
      <c r="B14" s="411">
        <v>248.65000000000009</v>
      </c>
      <c r="D14" s="411">
        <f t="shared" si="0"/>
        <v>249.23291052410571</v>
      </c>
    </row>
    <row r="15" spans="1:6" ht="15" x14ac:dyDescent="0.25">
      <c r="A15" s="411">
        <v>117</v>
      </c>
      <c r="B15" s="411">
        <v>246.57999999999993</v>
      </c>
      <c r="D15" s="411">
        <f t="shared" si="0"/>
        <v>246.9561769843275</v>
      </c>
    </row>
    <row r="16" spans="1:6" ht="15" x14ac:dyDescent="0.25">
      <c r="A16" s="411">
        <v>123.32</v>
      </c>
      <c r="B16" s="411">
        <v>245.20000000000027</v>
      </c>
      <c r="D16" s="411">
        <f t="shared" si="0"/>
        <v>245.26979344730171</v>
      </c>
    </row>
    <row r="17" spans="1:4" ht="15" x14ac:dyDescent="0.25">
      <c r="A17" s="411">
        <v>128.72</v>
      </c>
      <c r="B17" s="411">
        <v>245.38000000000011</v>
      </c>
      <c r="D17" s="411">
        <f t="shared" si="0"/>
        <v>244.24367351611647</v>
      </c>
    </row>
    <row r="18" spans="1:4" ht="15" x14ac:dyDescent="0.25">
      <c r="A18" s="411">
        <v>133.24</v>
      </c>
      <c r="B18" s="411">
        <v>243.99000000000024</v>
      </c>
      <c r="D18" s="411">
        <f t="shared" si="0"/>
        <v>243.75388088313866</v>
      </c>
    </row>
    <row r="19" spans="1:4" ht="15" x14ac:dyDescent="0.25">
      <c r="A19" s="411">
        <v>137</v>
      </c>
      <c r="B19" s="411">
        <v>243.86000000000013</v>
      </c>
      <c r="D19" s="411">
        <f t="shared" si="0"/>
        <v>243.63018503714818</v>
      </c>
    </row>
    <row r="20" spans="1:4" ht="15" x14ac:dyDescent="0.25">
      <c r="A20" s="411">
        <v>140.1</v>
      </c>
      <c r="B20" s="411">
        <v>243.88999999999987</v>
      </c>
      <c r="D20" s="411">
        <f t="shared" si="0"/>
        <v>243.72610569563074</v>
      </c>
    </row>
    <row r="21" spans="1:4" ht="15" x14ac:dyDescent="0.25">
      <c r="A21" s="411">
        <v>142.76</v>
      </c>
      <c r="B21" s="411">
        <v>243.98000000000002</v>
      </c>
      <c r="D21" s="411">
        <f t="shared" si="0"/>
        <v>243.94593812976598</v>
      </c>
    </row>
    <row r="22" spans="1:4" ht="15" x14ac:dyDescent="0.25">
      <c r="A22" s="411">
        <v>145.24</v>
      </c>
      <c r="B22" s="411">
        <v>244.16000000000031</v>
      </c>
      <c r="D22" s="411">
        <f t="shared" si="0"/>
        <v>244.25606634449514</v>
      </c>
    </row>
    <row r="23" spans="1:4" ht="15" x14ac:dyDescent="0.25">
      <c r="A23" s="411">
        <v>147.58000000000001</v>
      </c>
      <c r="B23" s="411">
        <v>244.43000000000029</v>
      </c>
      <c r="D23" s="411">
        <f t="shared" si="0"/>
        <v>244.62970733013037</v>
      </c>
    </row>
    <row r="24" spans="1:4" ht="15" x14ac:dyDescent="0.25">
      <c r="A24" s="411">
        <v>149.80000000000001</v>
      </c>
      <c r="B24" s="411">
        <v>244.76999999999998</v>
      </c>
      <c r="D24" s="411">
        <f t="shared" si="0"/>
        <v>245.04270036591379</v>
      </c>
    </row>
    <row r="25" spans="1:4" ht="15" x14ac:dyDescent="0.25">
      <c r="A25" s="411">
        <v>151.96</v>
      </c>
      <c r="B25" s="411">
        <v>245.17000000000007</v>
      </c>
      <c r="D25" s="411">
        <f t="shared" si="0"/>
        <v>245.48274179724888</v>
      </c>
    </row>
    <row r="26" spans="1:4" ht="15" x14ac:dyDescent="0.25">
      <c r="A26" s="411">
        <v>153.94</v>
      </c>
      <c r="B26" s="411">
        <v>245.61000000000013</v>
      </c>
      <c r="D26" s="411">
        <f t="shared" si="0"/>
        <v>245.90246999918259</v>
      </c>
    </row>
    <row r="27" spans="1:4" ht="15" x14ac:dyDescent="0.25">
      <c r="A27" s="411">
        <v>155.78</v>
      </c>
      <c r="B27" s="411">
        <v>246.05000000000018</v>
      </c>
      <c r="D27" s="411">
        <f t="shared" si="0"/>
        <v>246.29036045434998</v>
      </c>
    </row>
    <row r="28" spans="1:4" ht="15" x14ac:dyDescent="0.25">
      <c r="A28" s="411">
        <v>157.4</v>
      </c>
      <c r="B28" s="411">
        <v>246.48000000000002</v>
      </c>
      <c r="D28" s="411">
        <f t="shared" si="0"/>
        <v>246.61646438545847</v>
      </c>
    </row>
    <row r="29" spans="1:4" ht="15" x14ac:dyDescent="0.25">
      <c r="A29" s="411">
        <v>158.80000000000001</v>
      </c>
      <c r="B29" s="411">
        <v>246.86000000000013</v>
      </c>
      <c r="D29" s="411">
        <f t="shared" si="0"/>
        <v>246.87617743026522</v>
      </c>
    </row>
    <row r="30" spans="1:4" ht="15" x14ac:dyDescent="0.25">
      <c r="A30" s="411">
        <v>159.66</v>
      </c>
      <c r="B30" s="411">
        <v>247.11000000000013</v>
      </c>
      <c r="D30" s="411">
        <f t="shared" si="0"/>
        <v>247.02129801928027</v>
      </c>
    </row>
    <row r="31" spans="1:4" ht="15" x14ac:dyDescent="0.25">
      <c r="A31" s="411">
        <v>160.1</v>
      </c>
      <c r="B31" s="411">
        <v>247.2800000000002</v>
      </c>
      <c r="D31" s="411">
        <f t="shared" si="0"/>
        <v>247.09036521116366</v>
      </c>
    </row>
    <row r="32" spans="1:4" ht="15" x14ac:dyDescent="0.25">
      <c r="A32" s="411">
        <v>160.24</v>
      </c>
      <c r="B32" s="411">
        <v>247.34000000000015</v>
      </c>
      <c r="D32" s="411">
        <f t="shared" si="0"/>
        <v>247.11153135089285</v>
      </c>
    </row>
    <row r="33" spans="1:4" ht="15" x14ac:dyDescent="0.25">
      <c r="A33" s="411">
        <v>160.24</v>
      </c>
      <c r="B33" s="411">
        <v>247.34999999999991</v>
      </c>
      <c r="D33" s="411">
        <f t="shared" si="0"/>
        <v>247.11153135089285</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N27"/>
  <sheetViews>
    <sheetView workbookViewId="0">
      <selection activeCell="A15" sqref="A15"/>
    </sheetView>
  </sheetViews>
  <sheetFormatPr baseColWidth="10" defaultColWidth="9.140625" defaultRowHeight="12.75" x14ac:dyDescent="0.2"/>
  <cols>
    <col min="1" max="1" width="13.5703125" customWidth="1"/>
    <col min="2" max="2" width="12" bestFit="1" customWidth="1"/>
    <col min="3" max="3" width="9.28515625" customWidth="1"/>
  </cols>
  <sheetData>
    <row r="1" spans="1:14" ht="15" x14ac:dyDescent="0.25">
      <c r="A1" s="830" t="s">
        <v>129</v>
      </c>
      <c r="B1" s="830"/>
    </row>
    <row r="2" spans="1:14" ht="15" x14ac:dyDescent="0.25">
      <c r="A2" s="134" t="s">
        <v>127</v>
      </c>
      <c r="B2" s="134" t="s">
        <v>128</v>
      </c>
      <c r="D2" s="135" t="s">
        <v>131</v>
      </c>
    </row>
    <row r="3" spans="1:14" ht="15" x14ac:dyDescent="0.25">
      <c r="A3" s="132">
        <v>0</v>
      </c>
      <c r="B3" s="132">
        <v>4181.1080000000002</v>
      </c>
      <c r="C3" s="133"/>
      <c r="D3" s="132">
        <f>-0.0125630918191746*(A3^5)+0.0734463855624199*(A3^4)+0.410470470786095*(A3^3)-4.26330435276031*(A3^2)+28.9043787121772*A3+4181.10757380723</f>
        <v>4181.1075738072304</v>
      </c>
    </row>
    <row r="4" spans="1:14" ht="15" x14ac:dyDescent="0.25">
      <c r="A4" s="132">
        <v>1</v>
      </c>
      <c r="B4" s="132">
        <v>4206.22</v>
      </c>
      <c r="C4" s="133"/>
      <c r="D4" s="132">
        <f t="shared" ref="D4:D9" si="0">-0.0125630918191746*(A4^5)+0.0734463855624199*(A4^4)+0.410470470786095*(A4^3)-4.26330435276031*(A4^2)+28.9043787121772*A4+4181.10757380723</f>
        <v>4206.2200019311767</v>
      </c>
    </row>
    <row r="5" spans="1:14" ht="15" x14ac:dyDescent="0.25">
      <c r="A5" s="132">
        <v>2</v>
      </c>
      <c r="B5" s="132">
        <v>4225.92</v>
      </c>
      <c r="C5" s="133"/>
      <c r="D5" s="132">
        <f t="shared" si="0"/>
        <v>4225.9200008176176</v>
      </c>
    </row>
    <row r="6" spans="1:14" ht="15" x14ac:dyDescent="0.25">
      <c r="A6" s="132">
        <v>3</v>
      </c>
      <c r="B6" s="132">
        <v>4243.43</v>
      </c>
      <c r="C6" s="133"/>
      <c r="D6" s="132">
        <f t="shared" si="0"/>
        <v>4243.4299993986406</v>
      </c>
    </row>
    <row r="7" spans="1:14" ht="15" x14ac:dyDescent="0.25">
      <c r="A7" s="132">
        <v>4</v>
      </c>
      <c r="B7" s="132">
        <v>4260.72</v>
      </c>
      <c r="C7" s="133"/>
      <c r="D7" s="132">
        <f t="shared" si="0"/>
        <v>4260.7199978232293</v>
      </c>
      <c r="N7" s="150"/>
    </row>
    <row r="8" spans="1:14" ht="15" x14ac:dyDescent="0.25">
      <c r="A8" s="132">
        <v>5</v>
      </c>
      <c r="B8" s="132">
        <v>4277</v>
      </c>
      <c r="C8" s="133"/>
      <c r="D8" s="132">
        <f t="shared" si="0"/>
        <v>4276.9999964389626</v>
      </c>
    </row>
    <row r="9" spans="1:14" ht="15" x14ac:dyDescent="0.25">
      <c r="A9" s="132">
        <v>5.8</v>
      </c>
      <c r="B9" s="132">
        <v>4286.08</v>
      </c>
      <c r="C9" s="133"/>
      <c r="D9" s="132">
        <f t="shared" si="0"/>
        <v>4286.079995824969</v>
      </c>
    </row>
    <row r="10" spans="1:14" ht="15" x14ac:dyDescent="0.25">
      <c r="A10" s="132"/>
      <c r="B10" s="132"/>
      <c r="C10" s="133"/>
      <c r="D10" s="132"/>
    </row>
    <row r="11" spans="1:14" ht="15" x14ac:dyDescent="0.25">
      <c r="A11" s="132"/>
      <c r="B11" s="132"/>
      <c r="C11" s="133"/>
      <c r="D11" s="100"/>
    </row>
    <row r="12" spans="1:14" ht="15" x14ac:dyDescent="0.25">
      <c r="A12" s="132"/>
      <c r="B12" s="132"/>
      <c r="C12" s="133"/>
      <c r="D12" s="100"/>
    </row>
    <row r="14" spans="1:14" ht="15.75" customHeight="1" x14ac:dyDescent="0.25">
      <c r="A14" s="830" t="s">
        <v>130</v>
      </c>
      <c r="B14" s="830"/>
    </row>
    <row r="15" spans="1:14" ht="15" x14ac:dyDescent="0.25">
      <c r="A15" s="134" t="s">
        <v>127</v>
      </c>
      <c r="B15" s="134" t="s">
        <v>128</v>
      </c>
      <c r="C15" s="4"/>
      <c r="D15" s="135" t="s">
        <v>131</v>
      </c>
    </row>
    <row r="16" spans="1:14" ht="15" x14ac:dyDescent="0.25">
      <c r="A16" s="132">
        <v>0</v>
      </c>
      <c r="B16" s="132">
        <v>4468.9059999999999</v>
      </c>
      <c r="D16" s="100">
        <f>-0.0000278764200629666*(A16^6)-0.00669008074328303*(A16^5)+0.18784736841917*(A16^4)-1.94135648012161*(A16^3)+9.99009764194488*(A16^2)-19.2409356832504*(A16)+4468.90569889545</f>
        <v>4468.9056988954499</v>
      </c>
    </row>
    <row r="17" spans="1:6" ht="15" x14ac:dyDescent="0.25">
      <c r="A17" s="132">
        <v>1</v>
      </c>
      <c r="B17" s="132">
        <v>4457.8999999999996</v>
      </c>
      <c r="C17" s="133"/>
      <c r="D17" s="100">
        <f t="shared" ref="D17:D25" si="1">-0.0000278764200629666*(A17^6)-0.00669008074328303*(A17^5)+0.18784736841917*(A17^4)-1.94135648012161*(A17^3)+9.99009764194488*(A17^2)-19.2409356832504*(A17)+4468.90569889545</f>
        <v>4457.8946337852785</v>
      </c>
    </row>
    <row r="18" spans="1:6" ht="15" x14ac:dyDescent="0.25">
      <c r="A18" s="132">
        <v>2</v>
      </c>
      <c r="B18" s="132">
        <v>4457.6099999999997</v>
      </c>
      <c r="C18" s="133"/>
      <c r="D18" s="100">
        <f t="shared" si="1"/>
        <v>4457.6430574757933</v>
      </c>
    </row>
    <row r="19" spans="1:6" ht="15" x14ac:dyDescent="0.25">
      <c r="A19" s="132">
        <v>3</v>
      </c>
      <c r="B19" s="132">
        <v>4462.33</v>
      </c>
      <c r="C19" s="133"/>
      <c r="D19" s="100">
        <f t="shared" si="1"/>
        <v>4462.2467709710281</v>
      </c>
    </row>
    <row r="20" spans="1:6" ht="15" x14ac:dyDescent="0.25">
      <c r="A20" s="132">
        <v>4</v>
      </c>
      <c r="B20" s="132">
        <v>4468.5600000000004</v>
      </c>
      <c r="C20" s="133"/>
      <c r="D20" s="100">
        <f t="shared" si="1"/>
        <v>4468.660805523391</v>
      </c>
    </row>
    <row r="21" spans="1:6" ht="15" x14ac:dyDescent="0.25">
      <c r="A21" s="132">
        <v>5</v>
      </c>
      <c r="B21" s="132">
        <v>4475.8900000000003</v>
      </c>
      <c r="C21" s="133"/>
      <c r="D21" s="100">
        <f t="shared" si="1"/>
        <v>4475.8464353883564</v>
      </c>
    </row>
    <row r="22" spans="1:6" ht="15" x14ac:dyDescent="0.25">
      <c r="A22" s="132">
        <v>6</v>
      </c>
      <c r="B22" s="132">
        <v>4483.93</v>
      </c>
      <c r="C22" s="133"/>
      <c r="D22" s="100">
        <f t="shared" si="1"/>
        <v>4483.898119556713</v>
      </c>
    </row>
    <row r="23" spans="1:6" ht="15" x14ac:dyDescent="0.25">
      <c r="A23" s="132">
        <v>7</v>
      </c>
      <c r="B23" s="132">
        <v>4493.1000000000004</v>
      </c>
      <c r="C23" s="133"/>
      <c r="D23" s="100">
        <f t="shared" si="1"/>
        <v>4493.1503724643653</v>
      </c>
    </row>
    <row r="24" spans="1:6" ht="15" x14ac:dyDescent="0.25">
      <c r="A24" s="132">
        <v>8</v>
      </c>
      <c r="B24" s="132">
        <v>4503.29</v>
      </c>
      <c r="C24" s="133"/>
      <c r="D24" s="100">
        <f t="shared" si="1"/>
        <v>4503.2645636796906</v>
      </c>
    </row>
    <row r="25" spans="1:6" ht="15" x14ac:dyDescent="0.25">
      <c r="A25" s="132">
        <v>8.9</v>
      </c>
      <c r="B25" s="132">
        <v>4511.54</v>
      </c>
      <c r="C25" s="133"/>
      <c r="D25" s="100">
        <f t="shared" si="1"/>
        <v>4511.5452100339699</v>
      </c>
    </row>
    <row r="26" spans="1:6" ht="15" x14ac:dyDescent="0.25">
      <c r="A26" s="132"/>
      <c r="B26" s="132"/>
      <c r="C26" s="133"/>
      <c r="D26" s="100"/>
    </row>
    <row r="27" spans="1:6" ht="15" x14ac:dyDescent="0.25">
      <c r="A27" s="132"/>
      <c r="B27" s="132"/>
      <c r="C27" s="133"/>
      <c r="D27" s="100"/>
      <c r="F27">
        <f>AVERAGE(D16:D27)</f>
        <v>4478.3055667774033</v>
      </c>
    </row>
  </sheetData>
  <mergeCells count="2">
    <mergeCell ref="A1:B1"/>
    <mergeCell ref="A14:B1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N15"/>
  <sheetViews>
    <sheetView workbookViewId="0">
      <selection activeCell="C4" sqref="C4"/>
    </sheetView>
  </sheetViews>
  <sheetFormatPr baseColWidth="10" defaultColWidth="9.140625" defaultRowHeight="12.75" x14ac:dyDescent="0.2"/>
  <cols>
    <col min="1" max="1" width="7.42578125" customWidth="1"/>
    <col min="2" max="2" width="6.42578125" customWidth="1"/>
    <col min="10" max="11" width="9.28515625" customWidth="1"/>
  </cols>
  <sheetData>
    <row r="1" spans="1:14" ht="21" customHeight="1" x14ac:dyDescent="0.2">
      <c r="A1" s="831" t="s">
        <v>136</v>
      </c>
      <c r="B1" s="832"/>
      <c r="C1" s="832"/>
      <c r="D1" s="832"/>
      <c r="E1" s="832"/>
      <c r="F1" s="832"/>
      <c r="G1" s="832"/>
      <c r="H1" s="833"/>
    </row>
    <row r="2" spans="1:14" ht="30" customHeight="1" thickBot="1" x14ac:dyDescent="0.25">
      <c r="A2" s="834" t="s">
        <v>67</v>
      </c>
      <c r="B2" s="835"/>
      <c r="C2" s="142">
        <v>60</v>
      </c>
      <c r="D2" s="142">
        <v>70</v>
      </c>
      <c r="E2" s="142">
        <v>80</v>
      </c>
      <c r="F2" s="142">
        <v>90</v>
      </c>
      <c r="G2" s="142">
        <v>100</v>
      </c>
      <c r="H2" s="145">
        <v>110</v>
      </c>
      <c r="J2" s="12" t="s">
        <v>137</v>
      </c>
      <c r="K2" s="12" t="s">
        <v>138</v>
      </c>
    </row>
    <row r="3" spans="1:14" ht="14.25" x14ac:dyDescent="0.2">
      <c r="A3" s="836" t="s">
        <v>134</v>
      </c>
      <c r="B3" s="143">
        <v>55</v>
      </c>
      <c r="C3" s="521">
        <f>(($C$2*576)-(K3*J3)+($C$2*390)+(K3*390))/(4540-390)</f>
        <v>-2.3714927548598794</v>
      </c>
      <c r="D3" s="521">
        <f>((D2*576)-($K$3*$J$3)+(D2*390)+($K$3*390))/(4540-390)</f>
        <v>-4.3781911486385286E-2</v>
      </c>
      <c r="E3" s="521">
        <f>((E2*576)-($K$3*$J$3)+(E2*390)+($K$3*390))/(4540-390)</f>
        <v>2.2839289318871088</v>
      </c>
      <c r="F3" s="521">
        <f>((F2*576)-($K$3*$J$3)+(F2*390)+($K$3*390))/(4540-390)</f>
        <v>4.6116397752606026</v>
      </c>
      <c r="G3" s="521">
        <f>((G2*576)-($K$3*$J$3)+(G2*390)+($K$3*390))/(4540-390)</f>
        <v>6.939350618634097</v>
      </c>
      <c r="H3" s="521">
        <f>((H2*576)-($K$3*$J$3)+(H2*390)+($K$3*390))/(4540-390)</f>
        <v>9.2670614620075913</v>
      </c>
      <c r="J3">
        <v>646.82460201768367</v>
      </c>
      <c r="K3">
        <v>264</v>
      </c>
      <c r="M3" s="146"/>
      <c r="N3" s="146"/>
    </row>
    <row r="4" spans="1:14" ht="15" thickBot="1" x14ac:dyDescent="0.25">
      <c r="A4" s="837"/>
      <c r="B4" s="144">
        <v>57</v>
      </c>
      <c r="C4" s="521">
        <f t="shared" ref="C4:H4" si="0">((C2*576)-($K$4*$J$4)+(C2*390)+($K$4*390))/(4540-390)</f>
        <v>-2.7578313253012015</v>
      </c>
      <c r="D4" s="521">
        <f t="shared" si="0"/>
        <v>-0.43012048192770735</v>
      </c>
      <c r="E4" s="521">
        <f t="shared" si="0"/>
        <v>1.8975903614457867</v>
      </c>
      <c r="F4" s="521">
        <f t="shared" si="0"/>
        <v>4.2253012048192806</v>
      </c>
      <c r="G4" s="521">
        <f t="shared" si="0"/>
        <v>6.5530120481927749</v>
      </c>
      <c r="H4" s="521">
        <f t="shared" si="0"/>
        <v>8.8807228915662684</v>
      </c>
      <c r="J4">
        <v>652.5</v>
      </c>
      <c r="K4">
        <v>264.39999999999998</v>
      </c>
      <c r="M4" s="146"/>
      <c r="N4" s="146"/>
    </row>
    <row r="5" spans="1:14" ht="14.25" x14ac:dyDescent="0.2">
      <c r="A5" s="837"/>
      <c r="B5" s="143">
        <v>59</v>
      </c>
      <c r="C5" s="521">
        <f t="shared" ref="C5:H5" si="1">((C2*576)-($K$5*$J$5)+(C2*390)+($K$5*390))/(4540-390)</f>
        <v>-3.1468337349397628</v>
      </c>
      <c r="D5" s="521">
        <f t="shared" si="1"/>
        <v>-0.81912289156626872</v>
      </c>
      <c r="E5" s="521">
        <f t="shared" si="1"/>
        <v>1.5085879518072252</v>
      </c>
      <c r="F5" s="521">
        <f t="shared" si="1"/>
        <v>3.8362987951807193</v>
      </c>
      <c r="G5" s="521">
        <f t="shared" si="1"/>
        <v>6.1640096385542131</v>
      </c>
      <c r="H5" s="521">
        <f t="shared" si="1"/>
        <v>8.4917204819277075</v>
      </c>
      <c r="J5">
        <v>658.2</v>
      </c>
      <c r="K5">
        <v>264.8</v>
      </c>
      <c r="M5" s="146"/>
      <c r="N5" s="146"/>
    </row>
    <row r="6" spans="1:14" ht="15" thickBot="1" x14ac:dyDescent="0.25">
      <c r="A6" s="837"/>
      <c r="B6" s="144">
        <v>61</v>
      </c>
      <c r="C6" s="521">
        <f t="shared" ref="C6:H6" si="2">((C2*576)-($K$6*$J$6)+(C2*390)+($K$6*390))/(4540-390)</f>
        <v>-3.6330337349397581</v>
      </c>
      <c r="D6" s="521">
        <f t="shared" si="2"/>
        <v>-1.3053228915662642</v>
      </c>
      <c r="E6" s="521">
        <f t="shared" si="2"/>
        <v>1.0223879518072299</v>
      </c>
      <c r="F6" s="521">
        <f t="shared" si="2"/>
        <v>3.350098795180724</v>
      </c>
      <c r="G6" s="521">
        <f t="shared" si="2"/>
        <v>5.6778096385542174</v>
      </c>
      <c r="H6" s="521">
        <f t="shared" si="2"/>
        <v>8.0055204819277108</v>
      </c>
      <c r="J6">
        <v>665.3</v>
      </c>
      <c r="K6">
        <v>265.3</v>
      </c>
      <c r="M6" s="146"/>
      <c r="N6" s="146"/>
    </row>
    <row r="7" spans="1:14" ht="14.25" x14ac:dyDescent="0.2">
      <c r="A7" s="837"/>
      <c r="B7" s="143">
        <v>63</v>
      </c>
      <c r="C7" s="521">
        <f t="shared" ref="C7:H7" si="3">((C2*576)-($K$7*$J$7)+(C2*390)+($K$7*390))/(4540-390)</f>
        <v>-4.1209445783132557</v>
      </c>
      <c r="D7" s="521">
        <f t="shared" si="3"/>
        <v>-1.793233734939762</v>
      </c>
      <c r="E7" s="521">
        <f t="shared" si="3"/>
        <v>0.53447710843373186</v>
      </c>
      <c r="F7" s="521">
        <f t="shared" si="3"/>
        <v>2.862187951807226</v>
      </c>
      <c r="G7" s="521">
        <f t="shared" si="3"/>
        <v>5.1898987951807198</v>
      </c>
      <c r="H7" s="521">
        <f t="shared" si="3"/>
        <v>7.5176096385542142</v>
      </c>
      <c r="J7">
        <v>672.4</v>
      </c>
      <c r="K7">
        <v>265.8</v>
      </c>
      <c r="M7" s="146"/>
      <c r="N7" s="146"/>
    </row>
    <row r="8" spans="1:14" ht="15" thickBot="1" x14ac:dyDescent="0.25">
      <c r="A8" s="837"/>
      <c r="B8" s="144">
        <v>65</v>
      </c>
      <c r="C8" s="521">
        <f t="shared" ref="C8:H8" si="4">((C2*576)-($K$8*$J$8)+(C2*390)+($K$8*390))/(4540-390)</f>
        <v>-4.604149397590362</v>
      </c>
      <c r="D8" s="521">
        <f t="shared" si="4"/>
        <v>-2.2764385542168677</v>
      </c>
      <c r="E8" s="521">
        <f t="shared" si="4"/>
        <v>5.1272289156626225E-2</v>
      </c>
      <c r="F8" s="521">
        <f t="shared" si="4"/>
        <v>2.3789831325301201</v>
      </c>
      <c r="G8" s="521">
        <f t="shared" si="4"/>
        <v>4.7066939759036144</v>
      </c>
      <c r="H8" s="521">
        <f t="shared" si="4"/>
        <v>7.0344048192771078</v>
      </c>
      <c r="J8">
        <v>679.4</v>
      </c>
      <c r="K8">
        <v>266.3</v>
      </c>
      <c r="M8" s="146"/>
      <c r="N8" s="146"/>
    </row>
    <row r="9" spans="1:14" ht="14.25" x14ac:dyDescent="0.2">
      <c r="A9" s="837"/>
      <c r="B9" s="143">
        <v>67</v>
      </c>
      <c r="C9" s="521">
        <f t="shared" ref="C9:H9" si="5">((C2*576)-($K$9*$J$9)+(C2*390)+($K$9*390))/(4540-390)</f>
        <v>-5.0954698795180748</v>
      </c>
      <c r="D9" s="521">
        <f t="shared" si="5"/>
        <v>-2.767759036144581</v>
      </c>
      <c r="E9" s="521">
        <f t="shared" si="5"/>
        <v>-0.44004819277108714</v>
      </c>
      <c r="F9" s="521">
        <f t="shared" si="5"/>
        <v>1.8876626506024068</v>
      </c>
      <c r="G9" s="521">
        <f t="shared" si="5"/>
        <v>4.2153734939759007</v>
      </c>
      <c r="H9" s="521">
        <f t="shared" si="5"/>
        <v>6.543084337349395</v>
      </c>
      <c r="J9">
        <v>686.5</v>
      </c>
      <c r="K9">
        <v>266.8</v>
      </c>
      <c r="M9" s="146"/>
      <c r="N9" s="146"/>
    </row>
    <row r="10" spans="1:14" ht="15" thickBot="1" x14ac:dyDescent="0.25">
      <c r="A10" s="837"/>
      <c r="B10" s="144">
        <v>69</v>
      </c>
      <c r="C10" s="521">
        <f t="shared" ref="C10:H10" si="6">((C2*576)-($K$10*$J$10)+(C2*390)+($K$10*390))/(4540-390)</f>
        <v>-5.4781686746987939</v>
      </c>
      <c r="D10" s="521">
        <f t="shared" si="6"/>
        <v>-3.1504578313253</v>
      </c>
      <c r="E10" s="521">
        <f t="shared" si="6"/>
        <v>-0.82274698795180579</v>
      </c>
      <c r="F10" s="521">
        <f t="shared" si="6"/>
        <v>1.5049638554216882</v>
      </c>
      <c r="G10" s="521">
        <f t="shared" si="6"/>
        <v>3.8326746987951821</v>
      </c>
      <c r="H10" s="521">
        <f t="shared" si="6"/>
        <v>6.160385542168676</v>
      </c>
      <c r="J10">
        <v>692</v>
      </c>
      <c r="K10">
        <v>267.2</v>
      </c>
      <c r="M10" s="146"/>
      <c r="N10" s="146"/>
    </row>
    <row r="11" spans="1:14" ht="14.25" x14ac:dyDescent="0.2">
      <c r="A11" s="837"/>
      <c r="B11" s="143">
        <v>71</v>
      </c>
      <c r="C11" s="521">
        <f t="shared" ref="C11:H11" si="7">((C2*576)-($K$11*$J$11)+(C2*390)+($K$11*390))/(4540-390)</f>
        <v>-5.9660963855421656</v>
      </c>
      <c r="D11" s="521">
        <f t="shared" si="7"/>
        <v>-3.6383855421686717</v>
      </c>
      <c r="E11" s="521">
        <f t="shared" si="7"/>
        <v>-1.3106746987951778</v>
      </c>
      <c r="F11" s="521">
        <f t="shared" si="7"/>
        <v>1.017036144578316</v>
      </c>
      <c r="G11" s="521">
        <f t="shared" si="7"/>
        <v>3.3447469879518099</v>
      </c>
      <c r="H11" s="521">
        <f t="shared" si="7"/>
        <v>5.6724578313253042</v>
      </c>
      <c r="J11">
        <v>699</v>
      </c>
      <c r="K11">
        <v>267.7</v>
      </c>
      <c r="M11" s="146"/>
      <c r="N11" s="146"/>
    </row>
    <row r="12" spans="1:14" ht="15" thickBot="1" x14ac:dyDescent="0.25">
      <c r="A12" s="837"/>
      <c r="B12" s="144">
        <v>73</v>
      </c>
      <c r="C12" s="521">
        <f t="shared" ref="C12:H12" si="8">((C2*576)-($K$12*$J$12)+(C2*390)+($K$12*390))/(4540-390)</f>
        <v>-6.45571084337349</v>
      </c>
      <c r="D12" s="521">
        <f t="shared" si="8"/>
        <v>-4.1279999999999957</v>
      </c>
      <c r="E12" s="521">
        <f t="shared" si="8"/>
        <v>-1.8002891566265018</v>
      </c>
      <c r="F12" s="521">
        <f t="shared" si="8"/>
        <v>0.52742168674699219</v>
      </c>
      <c r="G12" s="521">
        <f t="shared" si="8"/>
        <v>2.855132530120486</v>
      </c>
      <c r="H12" s="521">
        <f t="shared" si="8"/>
        <v>5.1828433734939798</v>
      </c>
      <c r="J12">
        <v>706</v>
      </c>
      <c r="K12">
        <v>268.2</v>
      </c>
      <c r="M12" s="146"/>
      <c r="N12" s="146"/>
    </row>
    <row r="13" spans="1:14" ht="14.25" x14ac:dyDescent="0.2">
      <c r="A13" s="837"/>
      <c r="B13" s="143">
        <v>75</v>
      </c>
      <c r="C13" s="521">
        <f t="shared" ref="C13:H13" si="9">((C2*576)-($K$13*$J$13)+(C2*390)+($K$13*390))/(4540-390)</f>
        <v>-6.9405373493975855</v>
      </c>
      <c r="D13" s="521">
        <f t="shared" si="9"/>
        <v>-4.6128265060240921</v>
      </c>
      <c r="E13" s="521">
        <f t="shared" si="9"/>
        <v>-2.2851156626505977</v>
      </c>
      <c r="F13" s="521">
        <f t="shared" si="9"/>
        <v>4.2595180722896052E-2</v>
      </c>
      <c r="G13" s="521">
        <f t="shared" si="9"/>
        <v>2.37030602409639</v>
      </c>
      <c r="H13" s="521">
        <f t="shared" si="9"/>
        <v>4.6980168674698843</v>
      </c>
      <c r="J13">
        <v>712.9</v>
      </c>
      <c r="K13">
        <v>268.7</v>
      </c>
      <c r="M13" s="146"/>
      <c r="N13" s="146"/>
    </row>
    <row r="14" spans="1:14" ht="15" thickBot="1" x14ac:dyDescent="0.25">
      <c r="A14" s="837"/>
      <c r="B14" s="144">
        <v>77</v>
      </c>
      <c r="C14" s="521">
        <f t="shared" ref="C14:H14" si="10">((C2*576)-($K$14*$J$14)+(C2*390)+($K$14*390))/(4540-390)</f>
        <v>-7.4270265060240899</v>
      </c>
      <c r="D14" s="521">
        <f t="shared" si="10"/>
        <v>-5.0993156626505964</v>
      </c>
      <c r="E14" s="521">
        <f t="shared" si="10"/>
        <v>-2.7716048192771021</v>
      </c>
      <c r="F14" s="521">
        <f t="shared" si="10"/>
        <v>-0.4438939759036083</v>
      </c>
      <c r="G14" s="521">
        <f t="shared" si="10"/>
        <v>1.8838168674698856</v>
      </c>
      <c r="H14" s="521">
        <f t="shared" si="10"/>
        <v>4.21152771084338</v>
      </c>
      <c r="J14">
        <v>719.8</v>
      </c>
      <c r="K14">
        <v>269.2</v>
      </c>
      <c r="M14" s="146"/>
      <c r="N14" s="146"/>
    </row>
    <row r="15" spans="1:14" ht="15" thickBot="1" x14ac:dyDescent="0.25">
      <c r="A15" s="838"/>
      <c r="B15" s="143">
        <v>79</v>
      </c>
      <c r="C15" s="521">
        <f t="shared" ref="C15:H15" si="11">((C2*576)-($K$15*$J$15)+(C2*390)+($K$15*390))/(4540-390)</f>
        <v>-7.8161156626506001</v>
      </c>
      <c r="D15" s="521">
        <f t="shared" si="11"/>
        <v>-5.4884048192771058</v>
      </c>
      <c r="E15" s="521">
        <f t="shared" si="11"/>
        <v>-3.1606939759036119</v>
      </c>
      <c r="F15" s="521">
        <f t="shared" si="11"/>
        <v>-0.83298313253011813</v>
      </c>
      <c r="G15" s="521">
        <f t="shared" si="11"/>
        <v>1.4947277108433759</v>
      </c>
      <c r="H15" s="521">
        <f t="shared" si="11"/>
        <v>3.8224385542168697</v>
      </c>
      <c r="J15">
        <v>725.3</v>
      </c>
      <c r="K15">
        <v>269.60000000000002</v>
      </c>
      <c r="M15" s="146"/>
      <c r="N15" s="146"/>
    </row>
  </sheetData>
  <mergeCells count="3">
    <mergeCell ref="A1:H1"/>
    <mergeCell ref="A2:B2"/>
    <mergeCell ref="A3:A1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N15"/>
  <sheetViews>
    <sheetView workbookViewId="0">
      <selection activeCell="B3" sqref="B3"/>
    </sheetView>
  </sheetViews>
  <sheetFormatPr baseColWidth="10" defaultColWidth="9.140625" defaultRowHeight="12.75" x14ac:dyDescent="0.2"/>
  <cols>
    <col min="1" max="11" width="6.28515625" customWidth="1"/>
  </cols>
  <sheetData>
    <row r="1" spans="1:14" ht="33" customHeight="1" x14ac:dyDescent="0.2">
      <c r="A1" s="840" t="s">
        <v>139</v>
      </c>
      <c r="B1" s="841"/>
      <c r="C1" s="841"/>
      <c r="D1" s="841"/>
      <c r="E1" s="841"/>
      <c r="F1" s="841"/>
      <c r="G1" s="841"/>
      <c r="H1" s="841"/>
      <c r="I1" s="841"/>
      <c r="J1" s="841"/>
      <c r="K1" s="842"/>
    </row>
    <row r="2" spans="1:14" ht="32.25" customHeight="1" x14ac:dyDescent="0.2">
      <c r="A2" s="646" t="s">
        <v>67</v>
      </c>
      <c r="B2" s="646"/>
      <c r="C2" s="147">
        <v>55</v>
      </c>
      <c r="D2" s="147">
        <v>60</v>
      </c>
      <c r="E2" s="147">
        <v>65</v>
      </c>
      <c r="F2" s="147">
        <v>70</v>
      </c>
      <c r="G2" s="147">
        <v>75</v>
      </c>
      <c r="H2" s="147">
        <v>80</v>
      </c>
      <c r="I2" s="147">
        <v>85</v>
      </c>
      <c r="J2" s="147">
        <v>90</v>
      </c>
      <c r="K2" s="147">
        <v>95</v>
      </c>
      <c r="M2" s="12" t="s">
        <v>137</v>
      </c>
      <c r="N2" s="12" t="s">
        <v>138</v>
      </c>
    </row>
    <row r="3" spans="1:14" ht="15.75" customHeight="1" x14ac:dyDescent="0.2">
      <c r="A3" s="839" t="s">
        <v>134</v>
      </c>
      <c r="B3" s="141">
        <v>70</v>
      </c>
      <c r="C3" s="148">
        <f>((-C2*576)+($N$3*$M$3)-(C2*390)-($N$3*390))/(1800+390)</f>
        <v>6.6994040788440632</v>
      </c>
      <c r="D3" s="148">
        <f t="shared" ref="D3:K3" si="0">((-D2*576)+($N$3*$M$3)-(D2*390)-($N$3*390))/(1800+390)</f>
        <v>4.4939246267892692</v>
      </c>
      <c r="E3" s="148">
        <f t="shared" si="0"/>
        <v>2.2884451747344743</v>
      </c>
      <c r="F3" s="148">
        <f t="shared" si="0"/>
        <v>8.2965722679679887E-2</v>
      </c>
      <c r="G3" s="149">
        <f t="shared" si="0"/>
        <v>-2.1225137293751146</v>
      </c>
      <c r="H3" s="149">
        <f t="shared" si="0"/>
        <v>-4.3279931814299095</v>
      </c>
      <c r="I3" s="149">
        <f t="shared" si="0"/>
        <v>-6.5334726334847035</v>
      </c>
      <c r="J3" s="149">
        <f t="shared" si="0"/>
        <v>-8.7389520855394984</v>
      </c>
      <c r="K3" s="149">
        <f t="shared" si="0"/>
        <v>-10.944431537594292</v>
      </c>
      <c r="M3">
        <v>646.82460201768367</v>
      </c>
      <c r="N3">
        <v>264</v>
      </c>
    </row>
    <row r="4" spans="1:14" ht="15.75" customHeight="1" x14ac:dyDescent="0.2">
      <c r="A4" s="839"/>
      <c r="B4" s="141">
        <v>72</v>
      </c>
      <c r="C4" s="148">
        <f>((-C2*576)+($N$4*$M$4)-(C2*390)-($N$4*390))/(1800+390)</f>
        <v>7.4315068493150616</v>
      </c>
      <c r="D4" s="148">
        <f t="shared" ref="D4:K4" si="1">((-D2*576)+($N$4*$M$4)-(D2*390)-($N$4*390))/(1800+390)</f>
        <v>5.2260273972602675</v>
      </c>
      <c r="E4" s="148">
        <f t="shared" si="1"/>
        <v>3.0205479452054727</v>
      </c>
      <c r="F4" s="148">
        <f t="shared" si="1"/>
        <v>0.81506849315067831</v>
      </c>
      <c r="G4" s="149">
        <f t="shared" si="1"/>
        <v>-1.3904109589041163</v>
      </c>
      <c r="H4" s="149">
        <f t="shared" si="1"/>
        <v>-3.5958904109589107</v>
      </c>
      <c r="I4" s="149">
        <f t="shared" si="1"/>
        <v>-5.8013698630137052</v>
      </c>
      <c r="J4" s="149">
        <f t="shared" si="1"/>
        <v>-8.0068493150685001</v>
      </c>
      <c r="K4" s="149">
        <f t="shared" si="1"/>
        <v>-10.212328767123294</v>
      </c>
      <c r="M4">
        <v>652.5</v>
      </c>
      <c r="N4">
        <v>264.39999999999998</v>
      </c>
    </row>
    <row r="5" spans="1:14" ht="15.75" customHeight="1" x14ac:dyDescent="0.2">
      <c r="A5" s="839"/>
      <c r="B5" s="141">
        <v>74</v>
      </c>
      <c r="C5" s="148">
        <f>((-C2*576)+($N$5*$M$5)-(C2*390)-($N$5*390))/(1800+390)</f>
        <v>8.1686575342465826</v>
      </c>
      <c r="D5" s="148">
        <f t="shared" ref="D5:K5" si="2">((-D2*576)+($N$5*$M$5)-(D2*390)-($N$5*390))/(1800+390)</f>
        <v>5.9631780821917877</v>
      </c>
      <c r="E5" s="148">
        <f t="shared" si="2"/>
        <v>3.7576986301369932</v>
      </c>
      <c r="F5" s="148">
        <f t="shared" si="2"/>
        <v>1.5522191780821988</v>
      </c>
      <c r="G5" s="149">
        <f t="shared" si="2"/>
        <v>-0.65326027397259578</v>
      </c>
      <c r="H5" s="149">
        <f t="shared" si="2"/>
        <v>-2.8587397260273906</v>
      </c>
      <c r="I5" s="149">
        <f t="shared" si="2"/>
        <v>-5.064219178082185</v>
      </c>
      <c r="J5" s="149">
        <f t="shared" si="2"/>
        <v>-7.269698630136979</v>
      </c>
      <c r="K5" s="149">
        <f t="shared" si="2"/>
        <v>-9.475178082191773</v>
      </c>
      <c r="M5">
        <v>658.2</v>
      </c>
      <c r="N5">
        <v>264.8</v>
      </c>
    </row>
    <row r="6" spans="1:14" ht="15.75" customHeight="1" x14ac:dyDescent="0.2">
      <c r="A6" s="839"/>
      <c r="B6" s="141">
        <v>76</v>
      </c>
      <c r="C6" s="148">
        <f>((-C2*576)+($N$6*$M$6)-(C2*390)-($N$6*390))/(1800+390)</f>
        <v>9.0899954337899533</v>
      </c>
      <c r="D6" s="148">
        <f t="shared" ref="D6:K6" si="3">((-D2*576)+($N$6*$M$6)-(D2*390)-($N$6*390))/(1800+390)</f>
        <v>6.8845159817351584</v>
      </c>
      <c r="E6" s="148">
        <f t="shared" si="3"/>
        <v>4.6790365296803635</v>
      </c>
      <c r="F6" s="148">
        <f t="shared" si="3"/>
        <v>2.4735570776255691</v>
      </c>
      <c r="G6" s="148">
        <f t="shared" si="3"/>
        <v>0.26807762557077464</v>
      </c>
      <c r="H6" s="149">
        <f t="shared" si="3"/>
        <v>-1.9374018264840198</v>
      </c>
      <c r="I6" s="149">
        <f t="shared" si="3"/>
        <v>-4.1428812785388143</v>
      </c>
      <c r="J6" s="149">
        <f t="shared" si="3"/>
        <v>-6.3483607305936092</v>
      </c>
      <c r="K6" s="149">
        <f t="shared" si="3"/>
        <v>-8.5538401826484041</v>
      </c>
      <c r="M6">
        <v>665.3</v>
      </c>
      <c r="N6">
        <v>265.3</v>
      </c>
    </row>
    <row r="7" spans="1:14" ht="15.75" customHeight="1" x14ac:dyDescent="0.2">
      <c r="A7" s="839"/>
      <c r="B7" s="141">
        <v>78</v>
      </c>
      <c r="C7" s="148">
        <f>((-C2*576)+($N$7*$M$7)-(C2*390)-($N$7*390))/(1800+390)</f>
        <v>10.01457534246576</v>
      </c>
      <c r="D7" s="148">
        <f t="shared" ref="D7:K7" si="4">((-D2*576)+($N$7*$M$7)-(D2*390)-($N$7*390))/(1800+390)</f>
        <v>7.8090958904109646</v>
      </c>
      <c r="E7" s="148">
        <f t="shared" si="4"/>
        <v>5.6036164383561706</v>
      </c>
      <c r="F7" s="148">
        <f t="shared" si="4"/>
        <v>3.3981369863013757</v>
      </c>
      <c r="G7" s="148">
        <f t="shared" si="4"/>
        <v>1.1926575342465813</v>
      </c>
      <c r="H7" s="149">
        <f t="shared" si="4"/>
        <v>-1.0128219178082134</v>
      </c>
      <c r="I7" s="149">
        <f t="shared" si="4"/>
        <v>-3.2183013698630076</v>
      </c>
      <c r="J7" s="149">
        <f t="shared" si="4"/>
        <v>-5.4237808219178021</v>
      </c>
      <c r="K7" s="149">
        <f t="shared" si="4"/>
        <v>-7.629260273972597</v>
      </c>
      <c r="M7">
        <v>672.4</v>
      </c>
      <c r="N7">
        <v>265.8</v>
      </c>
    </row>
    <row r="8" spans="1:14" ht="15.75" customHeight="1" x14ac:dyDescent="0.2">
      <c r="A8" s="839"/>
      <c r="B8" s="141">
        <v>80</v>
      </c>
      <c r="C8" s="148">
        <f>((-C2*576)+($N$8*$M$8)-(C2*390)-($N$8*390))/(1800+390)</f>
        <v>10.930237442922374</v>
      </c>
      <c r="D8" s="148">
        <f t="shared" ref="D8:K8" si="5">((-D2*576)+($N$8*$M$8)-(D2*390)-($N$8*390))/(1800+390)</f>
        <v>8.7247579908675803</v>
      </c>
      <c r="E8" s="148">
        <f t="shared" si="5"/>
        <v>6.5192785388127863</v>
      </c>
      <c r="F8" s="148">
        <f t="shared" si="5"/>
        <v>4.3137990867579914</v>
      </c>
      <c r="G8" s="148">
        <f t="shared" si="5"/>
        <v>2.1083196347031969</v>
      </c>
      <c r="H8" s="148">
        <f t="shared" si="5"/>
        <v>-9.7159817351597635E-2</v>
      </c>
      <c r="I8" s="149">
        <f t="shared" si="5"/>
        <v>-2.302639269406392</v>
      </c>
      <c r="J8" s="149">
        <f t="shared" si="5"/>
        <v>-4.5081187214611864</v>
      </c>
      <c r="K8" s="149">
        <f t="shared" si="5"/>
        <v>-6.7135981735159813</v>
      </c>
      <c r="M8">
        <v>679.4</v>
      </c>
      <c r="N8">
        <v>266.3</v>
      </c>
    </row>
    <row r="9" spans="1:14" ht="15.75" customHeight="1" x14ac:dyDescent="0.2">
      <c r="A9" s="839"/>
      <c r="B9" s="141">
        <v>82</v>
      </c>
      <c r="C9" s="149">
        <f>((-C2*576)+($N$9*$M$9)-(C2*390)-($N$9*390))/(1800+390)</f>
        <v>11.86127853881279</v>
      </c>
      <c r="D9" s="148">
        <f t="shared" ref="D9:K9" si="6">((-D2*576)+($N$9*$M$9)-(D2*390)-($N$9*390))/(1800+390)</f>
        <v>9.6557990867579964</v>
      </c>
      <c r="E9" s="148">
        <f t="shared" si="6"/>
        <v>7.4503196347032015</v>
      </c>
      <c r="F9" s="148">
        <f t="shared" si="6"/>
        <v>5.2448401826484075</v>
      </c>
      <c r="G9" s="148">
        <f t="shared" si="6"/>
        <v>3.0393607305936126</v>
      </c>
      <c r="H9" s="148">
        <f t="shared" si="6"/>
        <v>0.8338812785388181</v>
      </c>
      <c r="I9" s="149">
        <f t="shared" si="6"/>
        <v>-1.3715981735159763</v>
      </c>
      <c r="J9" s="149">
        <f t="shared" si="6"/>
        <v>-3.5770776255707708</v>
      </c>
      <c r="K9" s="149">
        <f t="shared" si="6"/>
        <v>-5.7825570776255653</v>
      </c>
      <c r="M9">
        <v>686.5</v>
      </c>
      <c r="N9">
        <v>266.8</v>
      </c>
    </row>
    <row r="10" spans="1:14" ht="15.75" customHeight="1" x14ac:dyDescent="0.2">
      <c r="A10" s="839"/>
      <c r="B10" s="141">
        <v>84</v>
      </c>
      <c r="C10" s="149">
        <f>((-C2*576)+($N$10*$M$10)-(C2*390)-($N$10*390))/(1800+390)</f>
        <v>12.586484018264837</v>
      </c>
      <c r="D10" s="148">
        <f t="shared" ref="D10:K10" si="7">((-D2*576)+($N$10*$M$10)-(D2*390)-($N$10*390))/(1800+390)</f>
        <v>10.381004566210043</v>
      </c>
      <c r="E10" s="148">
        <f t="shared" si="7"/>
        <v>8.1755251141552492</v>
      </c>
      <c r="F10" s="148">
        <f t="shared" si="7"/>
        <v>5.9700456621004543</v>
      </c>
      <c r="G10" s="148">
        <f t="shared" si="7"/>
        <v>3.7645662100456594</v>
      </c>
      <c r="H10" s="148">
        <f t="shared" si="7"/>
        <v>1.5590867579908649</v>
      </c>
      <c r="I10" s="149">
        <f t="shared" si="7"/>
        <v>-0.64639269406392963</v>
      </c>
      <c r="J10" s="149">
        <f t="shared" si="7"/>
        <v>-2.851872146118724</v>
      </c>
      <c r="K10" s="149">
        <f t="shared" si="7"/>
        <v>-5.0573515981735184</v>
      </c>
      <c r="M10">
        <v>692</v>
      </c>
      <c r="N10">
        <v>267.2</v>
      </c>
    </row>
    <row r="11" spans="1:14" ht="15.75" customHeight="1" x14ac:dyDescent="0.2">
      <c r="A11" s="839"/>
      <c r="B11" s="141">
        <v>86</v>
      </c>
      <c r="C11" s="149">
        <f>((-C2*576)+($N$11*$M$11)-(C2*390)-($N$11*390))/(1800+390)</f>
        <v>13.511095890410953</v>
      </c>
      <c r="D11" s="148">
        <f t="shared" ref="D11:K11" si="8">((-D2*576)+($N$11*$M$11)-(D2*390)-($N$11*390))/(1800+390)</f>
        <v>11.305616438356159</v>
      </c>
      <c r="E11" s="148">
        <f t="shared" si="8"/>
        <v>9.100136986301365</v>
      </c>
      <c r="F11" s="148">
        <f t="shared" si="8"/>
        <v>6.8946575342465701</v>
      </c>
      <c r="G11" s="148">
        <f t="shared" si="8"/>
        <v>4.6891780821917752</v>
      </c>
      <c r="H11" s="148">
        <f t="shared" si="8"/>
        <v>2.4836986301369808</v>
      </c>
      <c r="I11" s="148">
        <f t="shared" si="8"/>
        <v>0.27821917808218649</v>
      </c>
      <c r="J11" s="149">
        <f t="shared" si="8"/>
        <v>-1.9272602739726081</v>
      </c>
      <c r="K11" s="149">
        <f t="shared" si="8"/>
        <v>-4.1327397260274026</v>
      </c>
      <c r="M11">
        <v>699</v>
      </c>
      <c r="N11">
        <v>267.7</v>
      </c>
    </row>
    <row r="12" spans="1:14" ht="15.75" customHeight="1" x14ac:dyDescent="0.2">
      <c r="A12" s="839"/>
      <c r="B12" s="141">
        <v>88</v>
      </c>
      <c r="C12" s="149">
        <f>((-C2*576)+($N$12*$M$12)-(C2*390)-($N$12*390))/(1800+390)</f>
        <v>14.438904109589034</v>
      </c>
      <c r="D12" s="149">
        <f t="shared" ref="D12:K12" si="9">((-D2*576)+($N$12*$M$12)-(D2*390)-($N$12*390))/(1800+390)</f>
        <v>12.233424657534238</v>
      </c>
      <c r="E12" s="148">
        <f t="shared" si="9"/>
        <v>10.027945205479444</v>
      </c>
      <c r="F12" s="148">
        <f t="shared" si="9"/>
        <v>7.82246575342465</v>
      </c>
      <c r="G12" s="148">
        <f t="shared" si="9"/>
        <v>5.6169863013698551</v>
      </c>
      <c r="H12" s="148">
        <f t="shared" si="9"/>
        <v>3.4115068493150607</v>
      </c>
      <c r="I12" s="148">
        <f t="shared" si="9"/>
        <v>1.206027397260266</v>
      </c>
      <c r="J12" s="149">
        <f t="shared" si="9"/>
        <v>-0.99945205479452848</v>
      </c>
      <c r="K12" s="149">
        <f t="shared" si="9"/>
        <v>-3.2049315068493232</v>
      </c>
      <c r="M12">
        <v>706</v>
      </c>
      <c r="N12">
        <v>268.2</v>
      </c>
    </row>
    <row r="13" spans="1:14" ht="15.75" customHeight="1" x14ac:dyDescent="0.2">
      <c r="A13" s="839"/>
      <c r="B13" s="141">
        <v>90</v>
      </c>
      <c r="C13" s="149">
        <f>((-C2*576)+($N$13*$M$13)-(C2*390)-($N$13*390))/(1800+390)</f>
        <v>15.357639269406384</v>
      </c>
      <c r="D13" s="149">
        <f t="shared" ref="D13:K13" si="10">((-D2*576)+($N$13*$M$13)-(D2*390)-($N$13*390))/(1800+390)</f>
        <v>13.15215981735159</v>
      </c>
      <c r="E13" s="148">
        <f t="shared" si="10"/>
        <v>10.946680365296794</v>
      </c>
      <c r="F13" s="148">
        <f t="shared" si="10"/>
        <v>8.7412009132420003</v>
      </c>
      <c r="G13" s="148">
        <f t="shared" si="10"/>
        <v>6.5357214611872063</v>
      </c>
      <c r="H13" s="148">
        <f t="shared" si="10"/>
        <v>4.3302420091324114</v>
      </c>
      <c r="I13" s="148">
        <f t="shared" si="10"/>
        <v>2.124762557077617</v>
      </c>
      <c r="J13" s="148">
        <f t="shared" si="10"/>
        <v>-8.0716894977177461E-2</v>
      </c>
      <c r="K13" s="149">
        <f t="shared" si="10"/>
        <v>-2.2861963470319719</v>
      </c>
      <c r="M13">
        <v>712.9</v>
      </c>
      <c r="N13">
        <v>268.7</v>
      </c>
    </row>
    <row r="14" spans="1:14" ht="15.75" customHeight="1" x14ac:dyDescent="0.2">
      <c r="A14" s="839"/>
      <c r="B14" s="141">
        <v>92</v>
      </c>
      <c r="C14" s="149">
        <f>((-C2*576)+($N$14*$M$14)-(C2*390)-($N$14*390))/(1800+390)</f>
        <v>16.279525114155238</v>
      </c>
      <c r="D14" s="149">
        <f t="shared" ref="D14:K14" si="11">((-D2*576)+($N$14*$M$14)-(D2*390)-($N$14*390))/(1800+390)</f>
        <v>14.074045662100445</v>
      </c>
      <c r="E14" s="149">
        <f t="shared" si="11"/>
        <v>11.86856621004565</v>
      </c>
      <c r="F14" s="148">
        <f t="shared" si="11"/>
        <v>9.6630867579908557</v>
      </c>
      <c r="G14" s="148">
        <f t="shared" si="11"/>
        <v>7.4576073059360617</v>
      </c>
      <c r="H14" s="148">
        <f t="shared" si="11"/>
        <v>5.2521278538812668</v>
      </c>
      <c r="I14" s="148">
        <f t="shared" si="11"/>
        <v>3.0466484018264723</v>
      </c>
      <c r="J14" s="148">
        <f t="shared" si="11"/>
        <v>0.84116894977167778</v>
      </c>
      <c r="K14" s="149">
        <f t="shared" si="11"/>
        <v>-1.3643105022831168</v>
      </c>
      <c r="M14">
        <v>719.8</v>
      </c>
      <c r="N14">
        <v>269.2</v>
      </c>
    </row>
    <row r="15" spans="1:14" ht="15.75" customHeight="1" x14ac:dyDescent="0.2">
      <c r="A15" s="839"/>
      <c r="B15" s="141">
        <v>94</v>
      </c>
      <c r="C15" s="149">
        <f>((-C2*576)+($N$15*$M$15)-(C2*390)-($N$15*390))/(1800+390)</f>
        <v>17.016840182648398</v>
      </c>
      <c r="D15" s="149">
        <f t="shared" ref="D15:K15" si="12">((-D2*576)+($N$15*$M$15)-(D2*390)-($N$15*390))/(1800+390)</f>
        <v>14.811360730593602</v>
      </c>
      <c r="E15" s="149">
        <f t="shared" si="12"/>
        <v>12.605881278538808</v>
      </c>
      <c r="F15" s="148">
        <f t="shared" si="12"/>
        <v>10.400401826484014</v>
      </c>
      <c r="G15" s="148">
        <f t="shared" si="12"/>
        <v>8.1949223744292201</v>
      </c>
      <c r="H15" s="148">
        <f t="shared" si="12"/>
        <v>5.9894429223744243</v>
      </c>
      <c r="I15" s="148">
        <f t="shared" si="12"/>
        <v>3.7839634703196303</v>
      </c>
      <c r="J15" s="148">
        <f t="shared" si="12"/>
        <v>1.5784840182648356</v>
      </c>
      <c r="K15" s="149">
        <f t="shared" si="12"/>
        <v>-0.62699543378995881</v>
      </c>
      <c r="M15">
        <v>725.3</v>
      </c>
      <c r="N15">
        <v>269.60000000000002</v>
      </c>
    </row>
  </sheetData>
  <mergeCells count="3">
    <mergeCell ref="A3:A15"/>
    <mergeCell ref="A1:K1"/>
    <mergeCell ref="A2:B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Y44"/>
  <sheetViews>
    <sheetView zoomScale="115" zoomScaleNormal="115" workbookViewId="0">
      <selection activeCell="I18" sqref="I18"/>
    </sheetView>
  </sheetViews>
  <sheetFormatPr baseColWidth="10" defaultColWidth="9.140625" defaultRowHeight="12.75" x14ac:dyDescent="0.2"/>
  <cols>
    <col min="1" max="11" width="6.28515625" customWidth="1"/>
    <col min="18" max="18" width="8.28515625" customWidth="1"/>
    <col min="22" max="22" width="10.5703125" bestFit="1" customWidth="1"/>
    <col min="24" max="24" width="20" bestFit="1" customWidth="1"/>
  </cols>
  <sheetData>
    <row r="1" spans="1:25" ht="33" customHeight="1" x14ac:dyDescent="0.2">
      <c r="A1" s="840" t="s">
        <v>139</v>
      </c>
      <c r="B1" s="841"/>
      <c r="C1" s="841"/>
      <c r="D1" s="841"/>
      <c r="E1" s="841"/>
      <c r="F1" s="841"/>
      <c r="G1" s="841"/>
      <c r="H1" s="841"/>
      <c r="I1" s="841"/>
      <c r="J1" s="841"/>
      <c r="K1" s="842"/>
      <c r="Q1" s="326" t="s">
        <v>69</v>
      </c>
      <c r="R1" s="327"/>
      <c r="S1" s="327"/>
      <c r="T1" s="326" t="s">
        <v>273</v>
      </c>
      <c r="U1" s="326" t="s">
        <v>274</v>
      </c>
      <c r="V1" s="327"/>
      <c r="W1" s="154"/>
      <c r="X1" s="844" t="s">
        <v>74</v>
      </c>
      <c r="Y1" s="844"/>
    </row>
    <row r="2" spans="1:25" ht="32.25" customHeight="1" x14ac:dyDescent="0.2">
      <c r="A2" s="646" t="s">
        <v>67</v>
      </c>
      <c r="B2" s="646"/>
      <c r="C2" s="147">
        <v>55</v>
      </c>
      <c r="D2" s="147">
        <v>60</v>
      </c>
      <c r="E2" s="147">
        <v>65</v>
      </c>
      <c r="F2" s="147">
        <v>70</v>
      </c>
      <c r="G2" s="376">
        <v>75</v>
      </c>
      <c r="H2" s="376">
        <v>80</v>
      </c>
      <c r="I2" s="376">
        <v>85</v>
      </c>
      <c r="J2" s="376">
        <v>90</v>
      </c>
      <c r="K2" s="376">
        <v>95</v>
      </c>
      <c r="M2" s="12" t="s">
        <v>137</v>
      </c>
      <c r="N2" s="12" t="s">
        <v>138</v>
      </c>
      <c r="Q2" s="332" t="s">
        <v>113</v>
      </c>
      <c r="R2" s="332" t="s">
        <v>114</v>
      </c>
      <c r="S2" s="332" t="s">
        <v>277</v>
      </c>
      <c r="T2" s="333" t="s">
        <v>290</v>
      </c>
      <c r="U2" s="332" t="s">
        <v>137</v>
      </c>
      <c r="V2" s="332" t="s">
        <v>278</v>
      </c>
      <c r="W2" s="154"/>
      <c r="X2" s="334" t="s">
        <v>162</v>
      </c>
      <c r="Y2" s="335">
        <f>'W&amp;B Report Metric'!C15</f>
        <v>130.5</v>
      </c>
    </row>
    <row r="3" spans="1:25" ht="15.75" customHeight="1" x14ac:dyDescent="0.2">
      <c r="A3" s="843" t="s">
        <v>309</v>
      </c>
      <c r="B3" s="141">
        <f t="shared" ref="B3:B13" si="0">B4-2</f>
        <v>72</v>
      </c>
      <c r="C3" s="148">
        <f>((-C2*645)+($N$3*$M3)-(C2*390)-($N$3*398))/(1800+398)</f>
        <v>8.2937220963434815</v>
      </c>
      <c r="D3" s="148">
        <f>((-D2*645)+($N$3*$M$3)-(D2*390)-($N$3*398))/(1800+398)</f>
        <v>5.9393089935227357</v>
      </c>
      <c r="E3" s="148">
        <f t="shared" ref="E3:K3" si="1">((-E2*645)+($N$3*$M$3)-(E2*390)-($N$3*398))/(1800+398)</f>
        <v>3.584895890701989</v>
      </c>
      <c r="F3" s="375">
        <f t="shared" si="1"/>
        <v>1.230482787881243</v>
      </c>
      <c r="G3" s="377">
        <f t="shared" si="1"/>
        <v>-1.123930314939503</v>
      </c>
      <c r="H3" s="377">
        <f t="shared" si="1"/>
        <v>-3.4783434177602492</v>
      </c>
      <c r="I3" s="377">
        <f t="shared" si="1"/>
        <v>-5.832756520580995</v>
      </c>
      <c r="J3" s="377">
        <f t="shared" si="1"/>
        <v>-8.1871696234017417</v>
      </c>
      <c r="K3" s="377">
        <f t="shared" si="1"/>
        <v>-10.541582726222488</v>
      </c>
      <c r="M3" s="220">
        <f>U3</f>
        <v>617.29977112655433</v>
      </c>
      <c r="N3" s="220">
        <f>S3</f>
        <v>342.70259737021098</v>
      </c>
      <c r="Q3" s="334">
        <v>304</v>
      </c>
      <c r="R3" s="343">
        <v>38.702597370210974</v>
      </c>
      <c r="S3" s="343">
        <f>Q3+R3</f>
        <v>342.70259737021098</v>
      </c>
      <c r="T3" s="344">
        <f>(((B3)*($Y$4-$Y$5))+(S3*$Y$4))/S3</f>
        <v>617.128773975635</v>
      </c>
      <c r="U3" s="343">
        <f>(($Y$3*R3)/S3)+$Y$2</f>
        <v>617.29977112655433</v>
      </c>
      <c r="V3" s="343">
        <f>(T3-U3)^2</f>
        <v>2.9240025622529406E-2</v>
      </c>
      <c r="W3" s="154"/>
      <c r="X3" s="345" t="s">
        <v>163</v>
      </c>
      <c r="Y3" s="335">
        <f>'W&amp;B Report Metric'!C16</f>
        <v>4310.5</v>
      </c>
    </row>
    <row r="4" spans="1:25" ht="15.75" customHeight="1" x14ac:dyDescent="0.2">
      <c r="A4" s="839"/>
      <c r="B4" s="141">
        <f t="shared" si="0"/>
        <v>74</v>
      </c>
      <c r="C4" s="148">
        <f>((-C2*645)+($N$4*$M$4)-(C2*398)-($N$4*398))/(1800+398)</f>
        <v>9.0452313141729324</v>
      </c>
      <c r="D4" s="148">
        <f t="shared" ref="D4:K4" si="2">((-D2*645)+($N$4*$M$4)-(D2*398)-($N$4*398))/(1800+398)</f>
        <v>6.6726198492047786</v>
      </c>
      <c r="E4" s="148">
        <f t="shared" si="2"/>
        <v>4.3000083842366257</v>
      </c>
      <c r="F4" s="148">
        <f t="shared" si="2"/>
        <v>1.9273969192684732</v>
      </c>
      <c r="G4" s="378">
        <f t="shared" si="2"/>
        <v>-0.44521454569967961</v>
      </c>
      <c r="H4" s="377">
        <f t="shared" si="2"/>
        <v>-2.8178260106678326</v>
      </c>
      <c r="I4" s="377">
        <f t="shared" si="2"/>
        <v>-5.190437475635985</v>
      </c>
      <c r="J4" s="377">
        <f t="shared" si="2"/>
        <v>-7.5630489406041379</v>
      </c>
      <c r="K4" s="377">
        <f t="shared" si="2"/>
        <v>-9.9356604055722908</v>
      </c>
      <c r="M4" s="220">
        <f t="shared" ref="M4:M15" si="3">U4</f>
        <v>623.06386790610213</v>
      </c>
      <c r="N4" s="220">
        <f t="shared" ref="N4:N15" si="4">S4</f>
        <v>343.21998971767306</v>
      </c>
      <c r="Q4" s="334">
        <v>304</v>
      </c>
      <c r="R4" s="343">
        <v>39.219989717673037</v>
      </c>
      <c r="S4" s="343">
        <f t="shared" ref="S4:S15" si="5">Q4+R4</f>
        <v>343.21998971767306</v>
      </c>
      <c r="T4" s="344">
        <f t="shared" ref="T4:T15" si="6">(((B4)*($Y$4-$Y$5))+(S4*$Y$4))/S4</f>
        <v>622.87617945414138</v>
      </c>
      <c r="U4" s="343">
        <f t="shared" ref="U4:U15" si="7">(($Y$3*R4)/S4)+$Y$2</f>
        <v>623.06386790610213</v>
      </c>
      <c r="V4" s="343">
        <f t="shared" ref="V4:V15" si="8">(T4-U4)^2</f>
        <v>3.5226954999423847E-2</v>
      </c>
      <c r="W4" s="154"/>
      <c r="X4" s="345" t="s">
        <v>279</v>
      </c>
      <c r="Y4" s="334">
        <f>Config!P5</f>
        <v>398</v>
      </c>
    </row>
    <row r="5" spans="1:25" ht="15.75" customHeight="1" x14ac:dyDescent="0.2">
      <c r="A5" s="839"/>
      <c r="B5" s="141">
        <f t="shared" si="0"/>
        <v>76</v>
      </c>
      <c r="C5" s="148">
        <f>((-C2*645)+($N$5*$M$5)-(C2*398)-($N$5*398))/(1800+398)</f>
        <v>9.9996900650808946</v>
      </c>
      <c r="D5" s="148">
        <f t="shared" ref="D5:K5" si="9">((-D2*645)+($N$5*$M$5)-(D2*398)-($N$5*398))/(1800+398)</f>
        <v>7.6270786001127417</v>
      </c>
      <c r="E5" s="148">
        <f t="shared" si="9"/>
        <v>5.2544671351445889</v>
      </c>
      <c r="F5" s="148">
        <f t="shared" si="9"/>
        <v>2.881855670176436</v>
      </c>
      <c r="G5" s="375">
        <f t="shared" si="9"/>
        <v>0.50924420520828295</v>
      </c>
      <c r="H5" s="377">
        <f t="shared" si="9"/>
        <v>-1.8633672597598698</v>
      </c>
      <c r="I5" s="377">
        <f t="shared" si="9"/>
        <v>-4.2359787247280227</v>
      </c>
      <c r="J5" s="377">
        <f t="shared" si="9"/>
        <v>-6.6085901896961756</v>
      </c>
      <c r="K5" s="377">
        <f t="shared" si="9"/>
        <v>-8.9812016546643285</v>
      </c>
      <c r="M5" s="220">
        <f t="shared" si="3"/>
        <v>628.82729898325215</v>
      </c>
      <c r="N5" s="220">
        <f t="shared" si="4"/>
        <v>343.73888665917582</v>
      </c>
      <c r="Q5" s="334">
        <v>304</v>
      </c>
      <c r="R5" s="343">
        <v>39.738886659175805</v>
      </c>
      <c r="S5" s="343">
        <f t="shared" si="5"/>
        <v>343.73888665917582</v>
      </c>
      <c r="T5" s="344">
        <f t="shared" si="6"/>
        <v>628.60527358545812</v>
      </c>
      <c r="U5" s="343">
        <f t="shared" si="7"/>
        <v>628.82729898325215</v>
      </c>
      <c r="V5" s="343">
        <f t="shared" si="8"/>
        <v>4.9295277265596113E-2</v>
      </c>
      <c r="W5" s="154"/>
      <c r="X5" s="345" t="s">
        <v>280</v>
      </c>
      <c r="Y5" s="335">
        <f>Config!D7</f>
        <v>-645</v>
      </c>
    </row>
    <row r="6" spans="1:25" ht="15.75" customHeight="1" x14ac:dyDescent="0.2">
      <c r="A6" s="839"/>
      <c r="B6" s="141">
        <f t="shared" si="0"/>
        <v>78</v>
      </c>
      <c r="C6" s="148">
        <f>((-C2*645)+($N$6*$M$6)-(C2*398)-($N$6*398))/(1800+398)</f>
        <v>10.955080034954312</v>
      </c>
      <c r="D6" s="148">
        <f t="shared" ref="D6:K6" si="10">((-D2*645)+($N$6*$M$6)-(D2*398)-($N$6*398))/(1800+398)</f>
        <v>8.58246856998616</v>
      </c>
      <c r="E6" s="148">
        <f t="shared" si="10"/>
        <v>6.2098571050180071</v>
      </c>
      <c r="F6" s="148">
        <f t="shared" si="10"/>
        <v>3.8372456400498542</v>
      </c>
      <c r="G6" s="375">
        <f t="shared" si="10"/>
        <v>1.4646341750817014</v>
      </c>
      <c r="H6" s="377">
        <f t="shared" si="10"/>
        <v>-0.90797728988645154</v>
      </c>
      <c r="I6" s="377">
        <f t="shared" si="10"/>
        <v>-3.2805887548546044</v>
      </c>
      <c r="J6" s="377">
        <f t="shared" si="10"/>
        <v>-5.6532002198227573</v>
      </c>
      <c r="K6" s="377">
        <f t="shared" si="10"/>
        <v>-8.0258116847909093</v>
      </c>
      <c r="M6" s="220">
        <f t="shared" si="3"/>
        <v>634.57895340501091</v>
      </c>
      <c r="N6" s="220">
        <f t="shared" si="4"/>
        <v>344.25828986317822</v>
      </c>
      <c r="Q6" s="334">
        <v>304</v>
      </c>
      <c r="R6" s="343">
        <v>40.258289863178227</v>
      </c>
      <c r="S6" s="343">
        <f t="shared" si="5"/>
        <v>344.25828986317822</v>
      </c>
      <c r="T6" s="344">
        <f t="shared" si="6"/>
        <v>634.3167493579698</v>
      </c>
      <c r="U6" s="343">
        <f t="shared" si="7"/>
        <v>634.57895340501091</v>
      </c>
      <c r="V6" s="343">
        <f t="shared" si="8"/>
        <v>6.8750962284736275E-2</v>
      </c>
      <c r="W6" s="154"/>
      <c r="X6" s="345" t="s">
        <v>285</v>
      </c>
      <c r="Y6" s="334">
        <f>Config!D13</f>
        <v>4285</v>
      </c>
    </row>
    <row r="7" spans="1:25" ht="15.75" customHeight="1" x14ac:dyDescent="0.2">
      <c r="A7" s="839"/>
      <c r="B7" s="141">
        <f t="shared" si="0"/>
        <v>80</v>
      </c>
      <c r="C7" s="372">
        <f>((-C2*645)+($N$7*$M$7)-(C2*398)-($N$7*398))/(1800+398)</f>
        <v>11.910218916042234</v>
      </c>
      <c r="D7" s="148">
        <f t="shared" ref="D7:K7" si="11">((-D2*645)+($N$7*$M$7)-(D2*398)-($N$7*398))/(1800+398)</f>
        <v>9.5376074510740825</v>
      </c>
      <c r="E7" s="148">
        <f t="shared" si="11"/>
        <v>7.1649959861059287</v>
      </c>
      <c r="F7" s="148">
        <f t="shared" si="11"/>
        <v>4.7923845211377758</v>
      </c>
      <c r="G7" s="148">
        <f t="shared" si="11"/>
        <v>2.4197730561696233</v>
      </c>
      <c r="H7" s="378">
        <f t="shared" si="11"/>
        <v>4.716159120147035E-2</v>
      </c>
      <c r="I7" s="377">
        <f t="shared" si="11"/>
        <v>-2.3254498737666824</v>
      </c>
      <c r="J7" s="377">
        <f t="shared" si="11"/>
        <v>-4.6980613387348358</v>
      </c>
      <c r="K7" s="377">
        <f t="shared" si="11"/>
        <v>-7.0706728037029887</v>
      </c>
      <c r="M7" s="220">
        <f t="shared" si="3"/>
        <v>640.31177345384901</v>
      </c>
      <c r="N7" s="220">
        <f t="shared" si="4"/>
        <v>344.77755656133093</v>
      </c>
      <c r="Q7" s="334">
        <v>304</v>
      </c>
      <c r="R7" s="343">
        <v>40.777556561330904</v>
      </c>
      <c r="S7" s="343">
        <f t="shared" si="5"/>
        <v>344.77755656133093</v>
      </c>
      <c r="T7" s="344">
        <f t="shared" si="6"/>
        <v>640.01111241751391</v>
      </c>
      <c r="U7" s="343">
        <f t="shared" si="7"/>
        <v>640.31177345384901</v>
      </c>
      <c r="V7" s="343">
        <f t="shared" si="8"/>
        <v>9.0397058770096392E-2</v>
      </c>
      <c r="W7" s="154"/>
      <c r="X7" s="154" t="s">
        <v>305</v>
      </c>
      <c r="Y7" s="370">
        <f>Config!D24</f>
        <v>879.23909949265305</v>
      </c>
    </row>
    <row r="8" spans="1:25" ht="15.75" customHeight="1" x14ac:dyDescent="0.2">
      <c r="A8" s="839"/>
      <c r="B8" s="368">
        <f t="shared" si="0"/>
        <v>82</v>
      </c>
      <c r="C8" s="374">
        <f>((-C2*645)+($N$8*$M$8)-(C2*398)-($N$8*398))/(1800+398)</f>
        <v>12.864582463885313</v>
      </c>
      <c r="D8" s="371">
        <f t="shared" ref="D8:K8" si="12">((-D2*645)+($N$8*$M$8)-(D2*398)-($N$8*398))/(1800+398)</f>
        <v>10.491970998917159</v>
      </c>
      <c r="E8" s="148">
        <f t="shared" si="12"/>
        <v>8.119359533949007</v>
      </c>
      <c r="F8" s="148">
        <f t="shared" si="12"/>
        <v>5.7467480689808541</v>
      </c>
      <c r="G8" s="148">
        <f t="shared" si="12"/>
        <v>3.3741366040127012</v>
      </c>
      <c r="H8" s="375">
        <f t="shared" si="12"/>
        <v>1.0015251390445481</v>
      </c>
      <c r="I8" s="377">
        <f t="shared" si="12"/>
        <v>-1.3710863259236048</v>
      </c>
      <c r="J8" s="377">
        <f t="shared" si="12"/>
        <v>-3.7436977908917575</v>
      </c>
      <c r="K8" s="377">
        <f t="shared" si="12"/>
        <v>-6.1163092558599104</v>
      </c>
      <c r="M8" s="220">
        <f t="shared" si="3"/>
        <v>646.0227185188852</v>
      </c>
      <c r="N8" s="220">
        <f t="shared" si="4"/>
        <v>345.29640174514469</v>
      </c>
      <c r="Q8" s="334">
        <v>304</v>
      </c>
      <c r="R8" s="343">
        <v>41.296401745144678</v>
      </c>
      <c r="S8" s="343">
        <f t="shared" si="5"/>
        <v>345.29640174514469</v>
      </c>
      <c r="T8" s="344">
        <f t="shared" si="6"/>
        <v>645.68865116389122</v>
      </c>
      <c r="U8" s="343">
        <f t="shared" si="7"/>
        <v>646.0227185188852</v>
      </c>
      <c r="V8" s="343">
        <f t="shared" si="8"/>
        <v>0.11160099767267155</v>
      </c>
      <c r="W8" s="154"/>
      <c r="X8" s="154" t="s">
        <v>308</v>
      </c>
      <c r="Y8" s="370">
        <f>Config!C24</f>
        <v>24.9</v>
      </c>
    </row>
    <row r="9" spans="1:25" ht="15.75" customHeight="1" x14ac:dyDescent="0.2">
      <c r="A9" s="839"/>
      <c r="B9" s="368">
        <f t="shared" si="0"/>
        <v>84</v>
      </c>
      <c r="C9" s="374">
        <f>((-C2*645)+($N$9*$M$9)-(C2*398)-($N$9*398))/(1800+398)</f>
        <v>13.818217568817454</v>
      </c>
      <c r="D9" s="371">
        <f t="shared" ref="D9:K9" si="13">((-D2*645)+($N$9*$M$9)-(D2*398)-($N$9*398))/(1800+398)</f>
        <v>11.445606103849302</v>
      </c>
      <c r="E9" s="148">
        <f t="shared" si="13"/>
        <v>9.0729946388811484</v>
      </c>
      <c r="F9" s="148">
        <f t="shared" si="13"/>
        <v>6.7003831739129964</v>
      </c>
      <c r="G9" s="148">
        <f t="shared" si="13"/>
        <v>4.3277717089448435</v>
      </c>
      <c r="H9" s="148">
        <f t="shared" si="13"/>
        <v>1.9551602439766906</v>
      </c>
      <c r="I9" s="378">
        <f t="shared" si="13"/>
        <v>-0.41745122099146215</v>
      </c>
      <c r="J9" s="377">
        <f t="shared" si="13"/>
        <v>-2.7900626859596152</v>
      </c>
      <c r="K9" s="377">
        <f t="shared" si="13"/>
        <v>-5.162674150927768</v>
      </c>
      <c r="M9" s="220">
        <f t="shared" si="3"/>
        <v>651.71218727648704</v>
      </c>
      <c r="N9" s="220">
        <f t="shared" si="4"/>
        <v>345.8148509068169</v>
      </c>
      <c r="Q9" s="334">
        <v>304</v>
      </c>
      <c r="R9" s="343">
        <v>41.814850906816915</v>
      </c>
      <c r="S9" s="343">
        <f t="shared" si="5"/>
        <v>345.8148509068169</v>
      </c>
      <c r="T9" s="344">
        <f t="shared" si="6"/>
        <v>651.34944340955406</v>
      </c>
      <c r="U9" s="343">
        <f t="shared" si="7"/>
        <v>651.71218727648704</v>
      </c>
      <c r="V9" s="343">
        <f t="shared" si="8"/>
        <v>0.13158311299749706</v>
      </c>
      <c r="W9" s="154"/>
      <c r="X9" s="154" t="s">
        <v>306</v>
      </c>
      <c r="Y9" s="154">
        <f>(Y8*(Y7-Y4))/(Y4-Y5)</f>
        <v>11.488833727101689</v>
      </c>
    </row>
    <row r="10" spans="1:25" ht="15.75" customHeight="1" x14ac:dyDescent="0.2">
      <c r="A10" s="839"/>
      <c r="B10" s="368">
        <f t="shared" si="0"/>
        <v>86</v>
      </c>
      <c r="C10" s="374">
        <f>((-C2*645)+($N$10*$M$10)-(C2*398)-($N$10*398))/(1800+398)</f>
        <v>14.771574815406909</v>
      </c>
      <c r="D10" s="373">
        <f t="shared" ref="D10:K10" si="14">((-D2*645)+($N$10*$M$10)-(D2*398)-($N$10*398))/(1800+398)</f>
        <v>12.398963350438756</v>
      </c>
      <c r="E10" s="148">
        <f t="shared" si="14"/>
        <v>10.026351885470604</v>
      </c>
      <c r="F10" s="148">
        <f t="shared" si="14"/>
        <v>7.6537404205024506</v>
      </c>
      <c r="G10" s="148">
        <f t="shared" si="14"/>
        <v>5.2811289555342977</v>
      </c>
      <c r="H10" s="148">
        <f t="shared" si="14"/>
        <v>2.9085174905661448</v>
      </c>
      <c r="I10" s="375">
        <f t="shared" si="14"/>
        <v>0.53590602559799183</v>
      </c>
      <c r="J10" s="377">
        <f t="shared" si="14"/>
        <v>-1.836705439370161</v>
      </c>
      <c r="K10" s="377">
        <f t="shared" si="14"/>
        <v>-4.2093169043383138</v>
      </c>
      <c r="M10" s="220">
        <f t="shared" si="3"/>
        <v>657.38297186179443</v>
      </c>
      <c r="N10" s="220">
        <f t="shared" si="4"/>
        <v>346.33314900921704</v>
      </c>
      <c r="Q10" s="334">
        <v>304</v>
      </c>
      <c r="R10" s="343">
        <v>42.333149009217017</v>
      </c>
      <c r="S10" s="343">
        <f t="shared" si="5"/>
        <v>346.33314900921704</v>
      </c>
      <c r="T10" s="344">
        <f t="shared" si="6"/>
        <v>656.99340059305973</v>
      </c>
      <c r="U10" s="343">
        <f t="shared" si="7"/>
        <v>657.38297186179443</v>
      </c>
      <c r="V10" s="343">
        <f t="shared" si="8"/>
        <v>0.15176577342356276</v>
      </c>
      <c r="W10" s="154"/>
      <c r="X10" s="154" t="s">
        <v>304</v>
      </c>
      <c r="Y10" s="154">
        <f>(Y8*(Y7-Y4))/(Y4-Y5)</f>
        <v>11.488833727101689</v>
      </c>
    </row>
    <row r="11" spans="1:25" ht="15.75" customHeight="1" x14ac:dyDescent="0.2">
      <c r="A11" s="839"/>
      <c r="B11" s="368">
        <f t="shared" si="0"/>
        <v>88</v>
      </c>
      <c r="C11" s="374">
        <f>((-C2*645)+($N$11*$M$11)-(C2*398)-($N$11*398))/(1800+398)</f>
        <v>15.725271285365995</v>
      </c>
      <c r="D11" s="374">
        <f t="shared" ref="D11:K11" si="15">((-D2*645)+($N$11*$M$11)-(D2*398)-($N$11*398))/(1800+398)</f>
        <v>13.352659820397841</v>
      </c>
      <c r="E11" s="371">
        <f t="shared" si="15"/>
        <v>10.980048355429689</v>
      </c>
      <c r="F11" s="148">
        <f t="shared" si="15"/>
        <v>8.6074368904615355</v>
      </c>
      <c r="G11" s="148">
        <f t="shared" si="15"/>
        <v>6.2348254254933826</v>
      </c>
      <c r="H11" s="148">
        <f t="shared" si="15"/>
        <v>3.8622139605252301</v>
      </c>
      <c r="I11" s="375">
        <f t="shared" si="15"/>
        <v>1.4896024955570772</v>
      </c>
      <c r="J11" s="377">
        <f t="shared" si="15"/>
        <v>-0.88300896941107565</v>
      </c>
      <c r="K11" s="377">
        <f t="shared" si="15"/>
        <v>-3.2556204343792285</v>
      </c>
      <c r="M11" s="220">
        <f t="shared" si="3"/>
        <v>663.03881754600934</v>
      </c>
      <c r="N11" s="220">
        <f t="shared" si="4"/>
        <v>346.851631532336</v>
      </c>
      <c r="Q11" s="334">
        <v>304</v>
      </c>
      <c r="R11" s="343">
        <v>42.851631532336008</v>
      </c>
      <c r="S11" s="343">
        <f t="shared" si="5"/>
        <v>346.851631532336</v>
      </c>
      <c r="T11" s="344">
        <f t="shared" si="6"/>
        <v>662.62034961321274</v>
      </c>
      <c r="U11" s="343">
        <f t="shared" si="7"/>
        <v>663.03881754600934</v>
      </c>
      <c r="V11" s="343">
        <f t="shared" si="8"/>
        <v>0.17511541077906168</v>
      </c>
      <c r="W11" s="154"/>
      <c r="X11" s="154"/>
      <c r="Y11" s="154"/>
    </row>
    <row r="12" spans="1:25" ht="15.75" customHeight="1" x14ac:dyDescent="0.2">
      <c r="A12" s="839"/>
      <c r="B12" s="368">
        <f t="shared" si="0"/>
        <v>90</v>
      </c>
      <c r="C12" s="374">
        <f>((-C2*645)+($N$12*$M$12)-(C2*398)-($N$12*398))/(1800+398)</f>
        <v>16.679788984695495</v>
      </c>
      <c r="D12" s="374">
        <f t="shared" ref="D12:K12" si="16">((-D2*645)+($N$12*$M$12)-(D2*398)-($N$12*398))/(1800+398)</f>
        <v>14.307177519727341</v>
      </c>
      <c r="E12" s="373">
        <f t="shared" si="16"/>
        <v>11.934566054759188</v>
      </c>
      <c r="F12" s="148">
        <f t="shared" si="16"/>
        <v>9.5619545897910356</v>
      </c>
      <c r="G12" s="148">
        <f t="shared" si="16"/>
        <v>7.1893431248228827</v>
      </c>
      <c r="H12" s="148">
        <f t="shared" si="16"/>
        <v>4.8167316598547298</v>
      </c>
      <c r="I12" s="148">
        <f t="shared" si="16"/>
        <v>2.4441201948865769</v>
      </c>
      <c r="J12" s="378">
        <f t="shared" si="16"/>
        <v>7.150872991842401E-2</v>
      </c>
      <c r="K12" s="377">
        <f t="shared" si="16"/>
        <v>-2.3011027350497288</v>
      </c>
      <c r="M12" s="220">
        <f t="shared" si="3"/>
        <v>668.68262793255701</v>
      </c>
      <c r="N12" s="220">
        <f t="shared" si="4"/>
        <v>347.37056052148421</v>
      </c>
      <c r="Q12" s="334">
        <v>304</v>
      </c>
      <c r="R12" s="343">
        <v>43.370560521484215</v>
      </c>
      <c r="S12" s="343">
        <f t="shared" si="5"/>
        <v>347.37056052148421</v>
      </c>
      <c r="T12" s="344">
        <f t="shared" si="6"/>
        <v>668.23015381349308</v>
      </c>
      <c r="U12" s="343">
        <f t="shared" si="7"/>
        <v>668.68262793255701</v>
      </c>
      <c r="V12" s="343">
        <f t="shared" si="8"/>
        <v>0.204732828422685</v>
      </c>
      <c r="W12" s="154"/>
      <c r="X12" s="154"/>
      <c r="Y12" s="154"/>
    </row>
    <row r="13" spans="1:25" ht="15.75" customHeight="1" x14ac:dyDescent="0.2">
      <c r="A13" s="839"/>
      <c r="B13" s="368">
        <f t="shared" si="0"/>
        <v>92</v>
      </c>
      <c r="C13" s="374">
        <f>((-C2*645)+($N$13*$M$13)-(C2*398)-($N$13*398))/(1800+398)</f>
        <v>17.635103712758571</v>
      </c>
      <c r="D13" s="374">
        <f t="shared" ref="D13:K13" si="17">((-D2*645)+($N$13*$M$13)-(D2*398)-($N$13*398))/(1800+398)</f>
        <v>15.262492247790419</v>
      </c>
      <c r="E13" s="374">
        <f t="shared" si="17"/>
        <v>12.889880782822265</v>
      </c>
      <c r="F13" s="371">
        <f t="shared" si="17"/>
        <v>10.517269317854113</v>
      </c>
      <c r="G13" s="148">
        <f t="shared" si="17"/>
        <v>8.1446578528859597</v>
      </c>
      <c r="H13" s="148">
        <f t="shared" si="17"/>
        <v>5.7720463879178068</v>
      </c>
      <c r="I13" s="148">
        <f t="shared" si="17"/>
        <v>3.3994349229496543</v>
      </c>
      <c r="J13" s="375">
        <f t="shared" si="17"/>
        <v>1.0268234579815014</v>
      </c>
      <c r="K13" s="377">
        <f t="shared" si="17"/>
        <v>-1.3457880069866515</v>
      </c>
      <c r="M13" s="220">
        <f t="shared" si="3"/>
        <v>674.31429269775674</v>
      </c>
      <c r="N13" s="220">
        <f t="shared" si="4"/>
        <v>347.88992281984747</v>
      </c>
      <c r="Q13" s="334">
        <v>304</v>
      </c>
      <c r="R13" s="343">
        <v>43.88992281984747</v>
      </c>
      <c r="S13" s="343">
        <f t="shared" si="5"/>
        <v>347.88992281984747</v>
      </c>
      <c r="T13" s="344">
        <f t="shared" si="6"/>
        <v>673.82287874917893</v>
      </c>
      <c r="U13" s="343">
        <f t="shared" si="7"/>
        <v>674.31429269775674</v>
      </c>
      <c r="V13" s="343">
        <f t="shared" si="8"/>
        <v>0.24148766885683948</v>
      </c>
      <c r="W13" s="154"/>
    </row>
    <row r="14" spans="1:25" ht="15.75" customHeight="1" x14ac:dyDescent="0.2">
      <c r="A14" s="839"/>
      <c r="B14" s="368">
        <f>B15-2</f>
        <v>94</v>
      </c>
      <c r="C14" s="374">
        <f>((-C2*645)+($N$14*$M$14)-(C2*398)-($N$14*398))/(1800+398)</f>
        <v>18.590226772221829</v>
      </c>
      <c r="D14" s="374">
        <f t="shared" ref="D14:K14" si="18">((-D2*645)+($N$14*$M$14)-(D2*398)-($N$14*398))/(1800+398)</f>
        <v>16.217615307253677</v>
      </c>
      <c r="E14" s="374">
        <f t="shared" si="18"/>
        <v>13.845003842285525</v>
      </c>
      <c r="F14" s="371">
        <f t="shared" si="18"/>
        <v>11.472392377317371</v>
      </c>
      <c r="G14" s="148">
        <f t="shared" si="18"/>
        <v>9.0997809123492193</v>
      </c>
      <c r="H14" s="148">
        <f t="shared" si="18"/>
        <v>6.7271694473810655</v>
      </c>
      <c r="I14" s="148">
        <f t="shared" si="18"/>
        <v>4.3545579824129126</v>
      </c>
      <c r="J14" s="148">
        <f t="shared" si="18"/>
        <v>1.9819465174447599</v>
      </c>
      <c r="K14" s="379">
        <f t="shared" si="18"/>
        <v>-0.39066494752339287</v>
      </c>
      <c r="M14" s="220">
        <f t="shared" si="3"/>
        <v>679.92804273113904</v>
      </c>
      <c r="N14" s="220">
        <f t="shared" si="4"/>
        <v>348.40918091648371</v>
      </c>
      <c r="Q14" s="334">
        <v>304</v>
      </c>
      <c r="R14" s="343">
        <v>44.409180916483699</v>
      </c>
      <c r="S14" s="343">
        <f t="shared" si="5"/>
        <v>348.40918091648371</v>
      </c>
      <c r="T14" s="344">
        <f t="shared" si="6"/>
        <v>679.39901406186368</v>
      </c>
      <c r="U14" s="343">
        <f t="shared" si="7"/>
        <v>679.92804273113904</v>
      </c>
      <c r="V14" s="343">
        <f t="shared" si="8"/>
        <v>0.2798713329152609</v>
      </c>
      <c r="W14" s="154"/>
    </row>
    <row r="15" spans="1:25" ht="15.75" customHeight="1" thickBot="1" x14ac:dyDescent="0.25">
      <c r="A15" s="839"/>
      <c r="B15" s="368">
        <v>96</v>
      </c>
      <c r="C15" s="374">
        <f>((-C2*645)+($N$15*$M$15)-(C2*398)-($N$15*398))/(1800+398)</f>
        <v>19.542631737679816</v>
      </c>
      <c r="D15" s="374">
        <f t="shared" ref="D15:K15" si="19">((-D2*645)+($N$15*$M$15)-(D2*398)-($N$15*398))/(1800+398)</f>
        <v>17.170020272711664</v>
      </c>
      <c r="E15" s="374">
        <f t="shared" si="19"/>
        <v>14.79740880774351</v>
      </c>
      <c r="F15" s="371">
        <f t="shared" si="19"/>
        <v>12.424797342775358</v>
      </c>
      <c r="G15" s="148">
        <f t="shared" si="19"/>
        <v>10.052185877807204</v>
      </c>
      <c r="H15" s="148">
        <f t="shared" si="19"/>
        <v>7.6795744128390515</v>
      </c>
      <c r="I15" s="148">
        <f t="shared" si="19"/>
        <v>5.3069629478708986</v>
      </c>
      <c r="J15" s="148">
        <f t="shared" si="19"/>
        <v>2.9343514829027457</v>
      </c>
      <c r="K15" s="148">
        <f t="shared" si="19"/>
        <v>0.56174001793459305</v>
      </c>
      <c r="M15" s="220">
        <f t="shared" si="3"/>
        <v>685.50918009885424</v>
      </c>
      <c r="N15" s="220">
        <f t="shared" si="4"/>
        <v>348.92696130581749</v>
      </c>
      <c r="Q15" s="334">
        <v>304</v>
      </c>
      <c r="R15" s="343">
        <v>44.926961305817514</v>
      </c>
      <c r="S15" s="343">
        <f t="shared" si="5"/>
        <v>348.92696130581749</v>
      </c>
      <c r="T15" s="344">
        <f t="shared" si="6"/>
        <v>684.95976838614854</v>
      </c>
      <c r="U15" s="343">
        <f t="shared" si="7"/>
        <v>685.50918009885424</v>
      </c>
      <c r="V15" s="359">
        <f t="shared" si="8"/>
        <v>0.30185323005821635</v>
      </c>
      <c r="W15" s="154"/>
    </row>
    <row r="16" spans="1:25" x14ac:dyDescent="0.2">
      <c r="Q16" s="154"/>
      <c r="R16" s="154"/>
      <c r="S16" s="154"/>
      <c r="T16" s="154"/>
      <c r="U16" s="154"/>
      <c r="V16" s="360">
        <f>SUM(V3:V15)</f>
        <v>1.8709206340681768</v>
      </c>
      <c r="W16" s="154"/>
    </row>
    <row r="18" spans="13:25" x14ac:dyDescent="0.2">
      <c r="M18">
        <f>(((B3-$Y$9-$Y$10)*($Y$4-$Y$5))+(S3*$Y$4))/S3</f>
        <v>547.19727261369837</v>
      </c>
    </row>
    <row r="19" spans="13:25" x14ac:dyDescent="0.2">
      <c r="Q19" s="12"/>
    </row>
    <row r="30" spans="13:25" x14ac:dyDescent="0.2">
      <c r="Q30" s="12" t="s">
        <v>302</v>
      </c>
      <c r="Y30" s="12" t="s">
        <v>303</v>
      </c>
    </row>
    <row r="33" spans="17:25" x14ac:dyDescent="0.2">
      <c r="Y33" s="12" t="s">
        <v>307</v>
      </c>
    </row>
    <row r="44" spans="17:25" x14ac:dyDescent="0.2">
      <c r="Q44" s="12" t="s">
        <v>288</v>
      </c>
    </row>
  </sheetData>
  <mergeCells count="4">
    <mergeCell ref="A1:K1"/>
    <mergeCell ref="A2:B2"/>
    <mergeCell ref="A3:A15"/>
    <mergeCell ref="X1:Y1"/>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S38"/>
  <sheetViews>
    <sheetView zoomScale="85" zoomScaleNormal="85" workbookViewId="0">
      <selection activeCell="G21" sqref="G21"/>
    </sheetView>
  </sheetViews>
  <sheetFormatPr baseColWidth="10" defaultColWidth="9.28515625" defaultRowHeight="12.75" x14ac:dyDescent="0.2"/>
  <cols>
    <col min="1" max="1" width="10.5703125" style="154" customWidth="1"/>
    <col min="2" max="2" width="16.7109375" style="154" customWidth="1"/>
    <col min="3" max="3" width="21" style="154" customWidth="1"/>
    <col min="4" max="9" width="10" style="154" customWidth="1"/>
    <col min="10" max="10" width="3.28515625" style="154" customWidth="1"/>
    <col min="11" max="11" width="8.28515625" style="154" customWidth="1"/>
    <col min="12" max="12" width="9.28515625" style="154" customWidth="1"/>
    <col min="13" max="13" width="7.28515625" style="154" bestFit="1" customWidth="1"/>
    <col min="14" max="14" width="10.28515625" style="154" bestFit="1" customWidth="1"/>
    <col min="15" max="15" width="10" style="154" customWidth="1"/>
    <col min="16" max="16" width="9.28515625" style="154"/>
    <col min="17" max="17" width="2.7109375" style="154" customWidth="1"/>
    <col min="18" max="18" width="22.5703125" style="154" bestFit="1" customWidth="1"/>
    <col min="19" max="16384" width="9.28515625" style="154"/>
  </cols>
  <sheetData>
    <row r="1" spans="1:19" ht="31.5" customHeight="1" x14ac:dyDescent="0.2">
      <c r="A1" s="845" t="s">
        <v>382</v>
      </c>
      <c r="B1" s="846"/>
      <c r="C1" s="846"/>
      <c r="D1" s="846"/>
      <c r="E1" s="846"/>
      <c r="F1" s="846"/>
      <c r="G1" s="846"/>
      <c r="H1" s="846"/>
      <c r="I1" s="846"/>
      <c r="K1" s="326" t="s">
        <v>123</v>
      </c>
      <c r="L1" s="327"/>
      <c r="M1" s="327"/>
      <c r="N1" s="326" t="s">
        <v>273</v>
      </c>
      <c r="O1" s="326" t="s">
        <v>274</v>
      </c>
      <c r="P1" s="327"/>
      <c r="R1" s="844" t="s">
        <v>74</v>
      </c>
      <c r="S1" s="844"/>
    </row>
    <row r="2" spans="1:19" ht="30" customHeight="1" thickBot="1" x14ac:dyDescent="0.25">
      <c r="A2" s="328" t="s">
        <v>67</v>
      </c>
      <c r="B2" s="329" t="s">
        <v>275</v>
      </c>
      <c r="C2" s="330" t="s">
        <v>276</v>
      </c>
      <c r="D2" s="331">
        <v>60</v>
      </c>
      <c r="E2" s="331">
        <v>70</v>
      </c>
      <c r="F2" s="331">
        <v>80</v>
      </c>
      <c r="G2" s="331">
        <v>90</v>
      </c>
      <c r="H2" s="331">
        <v>100</v>
      </c>
      <c r="I2" s="331">
        <v>110</v>
      </c>
      <c r="K2" s="332" t="s">
        <v>113</v>
      </c>
      <c r="L2" s="332" t="s">
        <v>114</v>
      </c>
      <c r="M2" s="332" t="s">
        <v>277</v>
      </c>
      <c r="N2" s="333" t="s">
        <v>290</v>
      </c>
      <c r="O2" s="332" t="s">
        <v>137</v>
      </c>
      <c r="P2" s="332" t="s">
        <v>278</v>
      </c>
      <c r="R2" s="334" t="s">
        <v>162</v>
      </c>
      <c r="S2" s="335">
        <v>136.14020775837253</v>
      </c>
    </row>
    <row r="3" spans="1:19" ht="14.25" x14ac:dyDescent="0.2">
      <c r="A3" s="847" t="s">
        <v>134</v>
      </c>
      <c r="B3" s="336">
        <v>55</v>
      </c>
      <c r="C3" s="337">
        <f>B3-((($S$6-$S$4)/(-$S$5-$S$4)*$S$8)+(($S$7-$S$4)/(-$S$5-$S$4)*$S$9))</f>
        <v>60.725555555555559</v>
      </c>
      <c r="D3" s="338">
        <f>(($D$2*$S$5)-(M3*N3)-($S$8*$S$6)-($S$9*$S$7)+($D$2+M3+$S$8+$S$9)*$S$4)/($S$10-$S$4)</f>
        <v>-0.18226941747573097</v>
      </c>
      <c r="E3" s="339">
        <f>(($E$2*$S$5)-(M3*N3)-($S$8*$S$6)-($S$9*$S$7)+($E$2+M3+$S$8+$S$9)*$S$4)/($S$10-$S$4)</f>
        <v>2.3298665048543663</v>
      </c>
      <c r="F3" s="339">
        <f t="shared" ref="F3:F15" si="0">(($F$2*$S$5)-(M3*N3)-($S$8*$S$6)-($S$9*$S$7)+($F$2+M3+$S$8+$S$9)*$S$4)/($S$10-$S$4)</f>
        <v>4.8420024271844628</v>
      </c>
      <c r="G3" s="340">
        <f t="shared" ref="G3:G15" si="1">(($G$2*$S$5)-(M3*N3)-($S$8*$S$6)-($S$9*$S$7)+($G$2+M3+$S$8+$S$9)*$S$4)/($S$10-$S$4)</f>
        <v>7.3541383495145602</v>
      </c>
      <c r="H3" s="341">
        <f t="shared" ref="H3:H15" si="2">(($H$2*$S$5)-(M3*N3)-($S$8*$S$6)-($S$9*$S$7)+($H$2+M3+$S$8+$S$9)*$S$4)/($S$10-$S$4)</f>
        <v>9.8662742718446612</v>
      </c>
      <c r="I3" s="342">
        <f>(($I$2*$S$5)-(M3*N3)-($S$8*$S$6)-($S$9*$S$7)+($I$2+M3+$S$8+$S$9)*$S$4)/($S$10-$S$4)</f>
        <v>12.378410194174759</v>
      </c>
      <c r="K3" s="334">
        <v>280</v>
      </c>
      <c r="L3" s="343">
        <v>31.771193344003365</v>
      </c>
      <c r="M3" s="343">
        <f>K3+L3</f>
        <v>311.77119334400334</v>
      </c>
      <c r="N3" s="344">
        <f>((B3*($S$5-(-$S$4))+M3*($S$4))/M3)</f>
        <v>572.58582324246311</v>
      </c>
      <c r="O3" s="343">
        <f>(($S$3*L3)/(K3+L3))+$S$2</f>
        <v>572.58709390294212</v>
      </c>
      <c r="P3" s="343">
        <f>(N3-O3)^2</f>
        <v>1.614578052913492E-6</v>
      </c>
      <c r="R3" s="345" t="s">
        <v>163</v>
      </c>
      <c r="S3" s="335">
        <v>4282.8597922416275</v>
      </c>
    </row>
    <row r="4" spans="1:19" ht="15" thickBot="1" x14ac:dyDescent="0.25">
      <c r="A4" s="848"/>
      <c r="B4" s="346">
        <v>57</v>
      </c>
      <c r="C4" s="347">
        <f t="shared" ref="C4:C15" si="3">B4-((($S$6-$S$4)/(-$S$5-$S$4)*$S$8)+(($S$7-$S$4)/(-$S$5-$S$4)*$S$9))</f>
        <v>62.725555555555559</v>
      </c>
      <c r="D4" s="348">
        <f>(($D$2*$S$5)-(M4*N4)-($S$8*$S$6)-($S$9*$S$7)+($D$2+M4+$S$8+$S$9)*$S$4)/($S$10-$S$4)</f>
        <v>-0.68469660194174331</v>
      </c>
      <c r="E4" s="349">
        <f t="shared" ref="E4:E15" si="4">(($E$2*$S$5)-(M4*N4)-($S$8*$S$6)-($S$9*$S$7)+($E$2+M4+$S$8+$S$9)*$S$4)/($S$10-$S$4)</f>
        <v>1.8274393203883537</v>
      </c>
      <c r="F4" s="349">
        <f t="shared" si="0"/>
        <v>4.3395752427184506</v>
      </c>
      <c r="G4" s="349">
        <f t="shared" si="1"/>
        <v>6.851711165048548</v>
      </c>
      <c r="H4" s="350">
        <f t="shared" si="2"/>
        <v>9.3638470873786481</v>
      </c>
      <c r="I4" s="350">
        <f t="shared" ref="I4:I15" si="5">(($I$2*$S$5)-(M4*N4)-($S$8*$S$6)-($S$9*$S$7)+($I$2+M4+$S$8+$S$9)*$S$4)/($S$10-$S$4)</f>
        <v>11.875983009708746</v>
      </c>
      <c r="K4" s="334">
        <v>280</v>
      </c>
      <c r="L4" s="343">
        <v>32.284685171478422</v>
      </c>
      <c r="M4" s="343">
        <f t="shared" ref="M4:M15" si="6">K4+L4</f>
        <v>312.28468517147843</v>
      </c>
      <c r="N4" s="344">
        <f t="shared" ref="N4:N15" si="7">((B4*($S$5-(-$S$4))+M4*($S$4))/M4)</f>
        <v>578.91416326614058</v>
      </c>
      <c r="O4" s="343">
        <f t="shared" ref="O4:O15" si="8">(($S$3*L4)/(K4+L4))+$S$2</f>
        <v>578.9117767521534</v>
      </c>
      <c r="P4" s="343">
        <f t="shared" ref="P4:P15" si="9">(N4-O4)^2</f>
        <v>5.69544901098636E-6</v>
      </c>
      <c r="R4" s="345" t="s">
        <v>279</v>
      </c>
      <c r="S4" s="334">
        <v>390</v>
      </c>
    </row>
    <row r="5" spans="1:19" ht="14.25" x14ac:dyDescent="0.2">
      <c r="A5" s="848"/>
      <c r="B5" s="336">
        <v>59</v>
      </c>
      <c r="C5" s="347">
        <f t="shared" si="3"/>
        <v>64.725555555555559</v>
      </c>
      <c r="D5" s="348">
        <f t="shared" ref="D5:D15" si="10">(($D$2*$S$5)-(M5*N5)-($S$8*$S$6)-($S$9*$S$7)+($D$2+M5+$S$8+$S$9)*$S$4)/($S$10-$S$4)</f>
        <v>-1.1871237864077697</v>
      </c>
      <c r="E5" s="349">
        <f t="shared" si="4"/>
        <v>1.3250121359223272</v>
      </c>
      <c r="F5" s="349">
        <f t="shared" si="0"/>
        <v>3.8371480582524242</v>
      </c>
      <c r="G5" s="349">
        <f t="shared" si="1"/>
        <v>6.3492839805825216</v>
      </c>
      <c r="H5" s="350">
        <f t="shared" si="2"/>
        <v>8.8614199029126191</v>
      </c>
      <c r="I5" s="350">
        <f t="shared" si="5"/>
        <v>11.37355582524272</v>
      </c>
      <c r="K5" s="334">
        <v>280</v>
      </c>
      <c r="L5" s="343">
        <v>32.79863205598847</v>
      </c>
      <c r="M5" s="343">
        <f t="shared" si="6"/>
        <v>312.79863205598849</v>
      </c>
      <c r="N5" s="344">
        <f t="shared" si="7"/>
        <v>585.22144198210503</v>
      </c>
      <c r="O5" s="343">
        <f t="shared" si="8"/>
        <v>585.22127166781127</v>
      </c>
      <c r="P5" s="343">
        <f t="shared" si="9"/>
        <v>2.9006958661886682E-8</v>
      </c>
      <c r="R5" s="345" t="s">
        <v>280</v>
      </c>
      <c r="S5" s="334">
        <v>645</v>
      </c>
    </row>
    <row r="6" spans="1:19" ht="15" thickBot="1" x14ac:dyDescent="0.25">
      <c r="A6" s="848"/>
      <c r="B6" s="346">
        <v>61</v>
      </c>
      <c r="C6" s="347">
        <f t="shared" si="3"/>
        <v>66.725555555555559</v>
      </c>
      <c r="D6" s="351">
        <f t="shared" si="10"/>
        <v>-1.6895509708737821</v>
      </c>
      <c r="E6" s="349">
        <f t="shared" si="4"/>
        <v>0.82258495145631494</v>
      </c>
      <c r="F6" s="349">
        <f t="shared" si="0"/>
        <v>3.334720873786412</v>
      </c>
      <c r="G6" s="349">
        <f t="shared" si="1"/>
        <v>5.8468567961165094</v>
      </c>
      <c r="H6" s="350">
        <f t="shared" si="2"/>
        <v>8.358992718446606</v>
      </c>
      <c r="I6" s="350">
        <f t="shared" si="5"/>
        <v>10.871128640776707</v>
      </c>
      <c r="K6" s="334">
        <v>280</v>
      </c>
      <c r="L6" s="343">
        <v>33.312555440562797</v>
      </c>
      <c r="M6" s="343">
        <f t="shared" si="6"/>
        <v>313.31255544056279</v>
      </c>
      <c r="N6" s="344">
        <f t="shared" si="7"/>
        <v>591.5080433378198</v>
      </c>
      <c r="O6" s="343">
        <f t="shared" si="8"/>
        <v>591.50977975840806</v>
      </c>
      <c r="P6" s="343">
        <f t="shared" si="9"/>
        <v>3.0151564593284286E-6</v>
      </c>
      <c r="R6" s="345" t="s">
        <v>281</v>
      </c>
      <c r="S6" s="352">
        <v>500.4</v>
      </c>
    </row>
    <row r="7" spans="1:19" ht="14.25" x14ac:dyDescent="0.2">
      <c r="A7" s="848"/>
      <c r="B7" s="336">
        <v>63</v>
      </c>
      <c r="C7" s="347">
        <f t="shared" si="3"/>
        <v>68.725555555555559</v>
      </c>
      <c r="D7" s="351">
        <f t="shared" si="10"/>
        <v>-2.1919781553398159</v>
      </c>
      <c r="E7" s="348">
        <f t="shared" si="4"/>
        <v>0.32015776699028137</v>
      </c>
      <c r="F7" s="349">
        <f t="shared" si="0"/>
        <v>2.8322936893203785</v>
      </c>
      <c r="G7" s="349">
        <f t="shared" si="1"/>
        <v>5.3444296116504759</v>
      </c>
      <c r="H7" s="350">
        <f t="shared" si="2"/>
        <v>7.8565655339805724</v>
      </c>
      <c r="I7" s="350">
        <f t="shared" si="5"/>
        <v>10.368701456310673</v>
      </c>
      <c r="K7" s="334">
        <v>280</v>
      </c>
      <c r="L7" s="343">
        <v>33.826310826040981</v>
      </c>
      <c r="M7" s="343">
        <f t="shared" si="6"/>
        <v>313.82631082604098</v>
      </c>
      <c r="N7" s="344">
        <f t="shared" si="7"/>
        <v>597.77416599765024</v>
      </c>
      <c r="O7" s="343">
        <f t="shared" si="8"/>
        <v>597.77564608535272</v>
      </c>
      <c r="P7" s="343">
        <f t="shared" si="9"/>
        <v>2.190659607018997E-6</v>
      </c>
      <c r="R7" s="345" t="s">
        <v>282</v>
      </c>
      <c r="S7" s="352">
        <v>852.5</v>
      </c>
    </row>
    <row r="8" spans="1:19" ht="15" thickBot="1" x14ac:dyDescent="0.25">
      <c r="A8" s="848"/>
      <c r="B8" s="346">
        <v>65</v>
      </c>
      <c r="C8" s="347">
        <f t="shared" si="3"/>
        <v>70.725555555555559</v>
      </c>
      <c r="D8" s="351">
        <f t="shared" si="10"/>
        <v>-2.6944053398058352</v>
      </c>
      <c r="E8" s="348">
        <f t="shared" si="4"/>
        <v>-0.18226941747573805</v>
      </c>
      <c r="F8" s="349">
        <f t="shared" si="0"/>
        <v>2.3298665048543592</v>
      </c>
      <c r="G8" s="349">
        <f>(($G$2*$S$5)-(M8*N8)-($S$8*$S$6)-($S$9*$S$7)+($G$2+M8+$S$8+$S$9)*$S$4)/($S$10-$S$4)</f>
        <v>4.8420024271844557</v>
      </c>
      <c r="H8" s="353">
        <f t="shared" si="2"/>
        <v>7.3541383495145602</v>
      </c>
      <c r="I8" s="350">
        <f t="shared" si="5"/>
        <v>9.8662742718446577</v>
      </c>
      <c r="K8" s="334">
        <v>280</v>
      </c>
      <c r="L8" s="343">
        <v>34.339957773439686</v>
      </c>
      <c r="M8" s="343">
        <f t="shared" si="6"/>
        <v>314.33995777343966</v>
      </c>
      <c r="N8" s="344">
        <f t="shared" si="7"/>
        <v>604.01987986677921</v>
      </c>
      <c r="O8" s="343">
        <f t="shared" si="8"/>
        <v>604.01971457291211</v>
      </c>
      <c r="P8" s="343">
        <f t="shared" si="9"/>
        <v>2.7322062500418209E-8</v>
      </c>
      <c r="R8" s="345" t="s">
        <v>283</v>
      </c>
      <c r="S8" s="352">
        <v>5.5</v>
      </c>
    </row>
    <row r="9" spans="1:19" ht="14.25" x14ac:dyDescent="0.2">
      <c r="A9" s="848"/>
      <c r="B9" s="336">
        <v>67</v>
      </c>
      <c r="C9" s="347">
        <f t="shared" si="3"/>
        <v>72.725555555555559</v>
      </c>
      <c r="D9" s="351">
        <f t="shared" si="10"/>
        <v>-3.1968325242718474</v>
      </c>
      <c r="E9" s="348">
        <f t="shared" si="4"/>
        <v>-0.68469660194175042</v>
      </c>
      <c r="F9" s="349">
        <f t="shared" si="0"/>
        <v>1.8274393203883468</v>
      </c>
      <c r="G9" s="349">
        <f t="shared" si="1"/>
        <v>4.3395752427184435</v>
      </c>
      <c r="H9" s="349">
        <f t="shared" si="2"/>
        <v>6.8517111650485409</v>
      </c>
      <c r="I9" s="350">
        <f t="shared" si="5"/>
        <v>9.3638470873786375</v>
      </c>
      <c r="K9" s="334">
        <v>280</v>
      </c>
      <c r="L9" s="343">
        <v>34.853630714549709</v>
      </c>
      <c r="M9" s="343">
        <f t="shared" si="6"/>
        <v>314.85363071454969</v>
      </c>
      <c r="N9" s="344">
        <f t="shared" si="7"/>
        <v>610.24519724490347</v>
      </c>
      <c r="O9" s="343">
        <f t="shared" si="8"/>
        <v>610.24372456461754</v>
      </c>
      <c r="P9" s="343">
        <f t="shared" si="9"/>
        <v>2.1687872245627963E-6</v>
      </c>
      <c r="R9" s="345" t="s">
        <v>284</v>
      </c>
      <c r="S9" s="352">
        <v>11.5</v>
      </c>
    </row>
    <row r="10" spans="1:19" ht="15" thickBot="1" x14ac:dyDescent="0.25">
      <c r="A10" s="848"/>
      <c r="B10" s="346">
        <v>69</v>
      </c>
      <c r="C10" s="347">
        <f t="shared" si="3"/>
        <v>74.725555555555559</v>
      </c>
      <c r="D10" s="351">
        <f t="shared" si="10"/>
        <v>-3.6992597087378667</v>
      </c>
      <c r="E10" s="348">
        <f t="shared" si="4"/>
        <v>-1.1871237864077697</v>
      </c>
      <c r="F10" s="349">
        <f t="shared" si="0"/>
        <v>1.3250121359223272</v>
      </c>
      <c r="G10" s="349">
        <f t="shared" si="1"/>
        <v>3.8371480582524242</v>
      </c>
      <c r="H10" s="349">
        <f t="shared" si="2"/>
        <v>6.3492839805825216</v>
      </c>
      <c r="I10" s="350">
        <f t="shared" si="5"/>
        <v>8.8614199029126191</v>
      </c>
      <c r="K10" s="334">
        <v>280</v>
      </c>
      <c r="L10" s="343">
        <v>35.367426652458612</v>
      </c>
      <c r="M10" s="343">
        <f t="shared" si="6"/>
        <v>315.36742665245862</v>
      </c>
      <c r="N10" s="344">
        <f t="shared" si="7"/>
        <v>616.45014660534616</v>
      </c>
      <c r="O10" s="343">
        <f t="shared" si="8"/>
        <v>616.44894215343436</v>
      </c>
      <c r="P10" s="343">
        <f t="shared" si="9"/>
        <v>1.4507044078471468E-6</v>
      </c>
      <c r="R10" s="345" t="s">
        <v>285</v>
      </c>
      <c r="S10" s="334">
        <v>4510</v>
      </c>
    </row>
    <row r="11" spans="1:19" x14ac:dyDescent="0.2">
      <c r="A11" s="848"/>
      <c r="B11" s="336">
        <v>71</v>
      </c>
      <c r="C11" s="347">
        <f t="shared" si="3"/>
        <v>76.725555555555559</v>
      </c>
      <c r="D11" s="351">
        <f t="shared" si="10"/>
        <v>-4.2016868932038864</v>
      </c>
      <c r="E11" s="351">
        <f t="shared" si="4"/>
        <v>-1.6895509708737892</v>
      </c>
      <c r="F11" s="348">
        <f t="shared" si="0"/>
        <v>0.82258495145630783</v>
      </c>
      <c r="G11" s="349">
        <f t="shared" si="1"/>
        <v>3.3347208737864049</v>
      </c>
      <c r="H11" s="349">
        <f t="shared" si="2"/>
        <v>5.8468567961165023</v>
      </c>
      <c r="I11" s="350">
        <f t="shared" si="5"/>
        <v>8.3589927184465989</v>
      </c>
      <c r="K11" s="334">
        <v>280</v>
      </c>
      <c r="L11" s="343">
        <v>35.881332281498871</v>
      </c>
      <c r="M11" s="343">
        <f t="shared" si="6"/>
        <v>315.88133228149889</v>
      </c>
      <c r="N11" s="344">
        <f t="shared" si="7"/>
        <v>622.6348298876793</v>
      </c>
      <c r="O11" s="343">
        <f t="shared" si="8"/>
        <v>622.63529187921972</v>
      </c>
      <c r="P11" s="343">
        <f t="shared" si="9"/>
        <v>2.1343618341885801E-7</v>
      </c>
    </row>
    <row r="12" spans="1:19" ht="13.5" thickBot="1" x14ac:dyDescent="0.25">
      <c r="A12" s="848"/>
      <c r="B12" s="346">
        <v>73</v>
      </c>
      <c r="C12" s="347">
        <f t="shared" si="3"/>
        <v>78.725555555555559</v>
      </c>
      <c r="D12" s="351">
        <f t="shared" si="10"/>
        <v>-4.7041140776699057</v>
      </c>
      <c r="E12" s="351">
        <f t="shared" si="4"/>
        <v>-2.1919781553398088</v>
      </c>
      <c r="F12" s="348">
        <f t="shared" si="0"/>
        <v>0.32015776699028842</v>
      </c>
      <c r="G12" s="349">
        <f t="shared" si="1"/>
        <v>2.8322936893203856</v>
      </c>
      <c r="H12" s="349">
        <f t="shared" si="2"/>
        <v>5.344429611650483</v>
      </c>
      <c r="I12" s="350">
        <f t="shared" si="5"/>
        <v>7.8565655339805796</v>
      </c>
      <c r="K12" s="334">
        <v>280</v>
      </c>
      <c r="L12" s="343">
        <v>36.395216220998485</v>
      </c>
      <c r="M12" s="343">
        <f t="shared" si="6"/>
        <v>316.39521622099846</v>
      </c>
      <c r="N12" s="344">
        <f t="shared" si="7"/>
        <v>628.7994385706063</v>
      </c>
      <c r="O12" s="343">
        <f t="shared" si="8"/>
        <v>628.80128539608677</v>
      </c>
      <c r="P12" s="343">
        <f t="shared" si="9"/>
        <v>3.4107643553140425E-6</v>
      </c>
    </row>
    <row r="13" spans="1:19" x14ac:dyDescent="0.2">
      <c r="A13" s="848"/>
      <c r="B13" s="336">
        <v>75</v>
      </c>
      <c r="C13" s="347">
        <f t="shared" si="3"/>
        <v>80.725555555555559</v>
      </c>
      <c r="D13" s="351">
        <f t="shared" si="10"/>
        <v>-5.2065412621359179</v>
      </c>
      <c r="E13" s="351">
        <f t="shared" si="4"/>
        <v>-2.694405339805821</v>
      </c>
      <c r="F13" s="348">
        <f t="shared" si="0"/>
        <v>-0.18226941747572392</v>
      </c>
      <c r="G13" s="349">
        <f t="shared" si="1"/>
        <v>2.329866504854373</v>
      </c>
      <c r="H13" s="349">
        <f t="shared" si="2"/>
        <v>4.8420024271844699</v>
      </c>
      <c r="I13" s="353">
        <f t="shared" si="5"/>
        <v>7.3541383495145674</v>
      </c>
      <c r="K13" s="334">
        <v>280</v>
      </c>
      <c r="L13" s="343">
        <v>36.908916658044483</v>
      </c>
      <c r="M13" s="343">
        <f t="shared" si="6"/>
        <v>316.90891665804446</v>
      </c>
      <c r="N13" s="344">
        <f t="shared" si="7"/>
        <v>634.94419664360532</v>
      </c>
      <c r="O13" s="343">
        <f t="shared" si="8"/>
        <v>634.94509086775201</v>
      </c>
      <c r="P13" s="343">
        <f t="shared" si="9"/>
        <v>7.9963682452553005E-7</v>
      </c>
    </row>
    <row r="14" spans="1:19" ht="13.5" thickBot="1" x14ac:dyDescent="0.25">
      <c r="A14" s="848"/>
      <c r="B14" s="346">
        <v>77</v>
      </c>
      <c r="C14" s="347">
        <f t="shared" si="3"/>
        <v>82.725555555555559</v>
      </c>
      <c r="D14" s="351">
        <f t="shared" si="10"/>
        <v>-5.7089684466019444</v>
      </c>
      <c r="E14" s="351">
        <f t="shared" si="4"/>
        <v>-3.1968325242718474</v>
      </c>
      <c r="F14" s="351">
        <f t="shared" si="0"/>
        <v>-0.68469660194175042</v>
      </c>
      <c r="G14" s="348">
        <f t="shared" si="1"/>
        <v>1.8274393203883468</v>
      </c>
      <c r="H14" s="349">
        <f t="shared" si="2"/>
        <v>4.3395752427184435</v>
      </c>
      <c r="I14" s="349">
        <f t="shared" si="5"/>
        <v>6.8517111650485409</v>
      </c>
      <c r="K14" s="334">
        <v>280</v>
      </c>
      <c r="L14" s="343">
        <v>37.422461532566153</v>
      </c>
      <c r="M14" s="343">
        <f t="shared" si="6"/>
        <v>317.42246153256616</v>
      </c>
      <c r="N14" s="344">
        <f t="shared" si="7"/>
        <v>641.06918903980477</v>
      </c>
      <c r="O14" s="343">
        <f t="shared" si="8"/>
        <v>641.0671592119736</v>
      </c>
      <c r="P14" s="343">
        <f t="shared" si="9"/>
        <v>4.1202010241747516E-6</v>
      </c>
    </row>
    <row r="15" spans="1:19" ht="13.5" thickBot="1" x14ac:dyDescent="0.25">
      <c r="A15" s="849"/>
      <c r="B15" s="336">
        <v>79</v>
      </c>
      <c r="C15" s="354">
        <f t="shared" si="3"/>
        <v>84.725555555555559</v>
      </c>
      <c r="D15" s="355">
        <f t="shared" si="10"/>
        <v>-6.2113956310679637</v>
      </c>
      <c r="E15" s="355">
        <f t="shared" si="4"/>
        <v>-3.6992597087378667</v>
      </c>
      <c r="F15" s="356">
        <f t="shared" si="0"/>
        <v>-1.1871237864077697</v>
      </c>
      <c r="G15" s="357">
        <f t="shared" si="1"/>
        <v>1.3250121359223272</v>
      </c>
      <c r="H15" s="358">
        <f t="shared" si="2"/>
        <v>3.8371480582524242</v>
      </c>
      <c r="I15" s="358">
        <f t="shared" si="5"/>
        <v>6.3492839805825216</v>
      </c>
      <c r="K15" s="334">
        <v>280</v>
      </c>
      <c r="L15" s="343">
        <v>37.936462515704633</v>
      </c>
      <c r="M15" s="343">
        <f t="shared" si="6"/>
        <v>317.93646251570465</v>
      </c>
      <c r="N15" s="344">
        <f t="shared" si="7"/>
        <v>647.17402575667518</v>
      </c>
      <c r="O15" s="343">
        <f t="shared" si="8"/>
        <v>647.1748612950596</v>
      </c>
      <c r="P15" s="343">
        <f t="shared" si="9"/>
        <v>6.9812439184227898E-7</v>
      </c>
    </row>
    <row r="16" spans="1:19" x14ac:dyDescent="0.2">
      <c r="P16" s="360">
        <f>SUM(P3:P15)</f>
        <v>2.5433826563094986E-5</v>
      </c>
    </row>
    <row r="18" spans="10:12" x14ac:dyDescent="0.2">
      <c r="J18" s="224" t="s">
        <v>287</v>
      </c>
      <c r="L18" s="154" t="s">
        <v>286</v>
      </c>
    </row>
    <row r="30" spans="10:12" x14ac:dyDescent="0.2">
      <c r="J30" s="224" t="s">
        <v>288</v>
      </c>
    </row>
    <row r="38" spans="10:10" x14ac:dyDescent="0.2">
      <c r="J38" s="224" t="s">
        <v>289</v>
      </c>
    </row>
  </sheetData>
  <mergeCells count="3">
    <mergeCell ref="A1:I1"/>
    <mergeCell ref="R1:S1"/>
    <mergeCell ref="A3:A15"/>
  </mergeCells>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G18"/>
  <sheetViews>
    <sheetView workbookViewId="0">
      <selection sqref="A1:D1"/>
    </sheetView>
  </sheetViews>
  <sheetFormatPr baseColWidth="10" defaultColWidth="9.140625" defaultRowHeight="12.75" x14ac:dyDescent="0.2"/>
  <cols>
    <col min="2" max="2" width="15.7109375" customWidth="1"/>
  </cols>
  <sheetData>
    <row r="1" spans="1:7" ht="13.5" thickBot="1" x14ac:dyDescent="0.25">
      <c r="A1" s="854" t="s">
        <v>135</v>
      </c>
      <c r="B1" s="855"/>
      <c r="C1" s="855"/>
      <c r="D1" s="855"/>
      <c r="E1" s="174" t="s">
        <v>22</v>
      </c>
      <c r="F1" s="174" t="s">
        <v>21</v>
      </c>
      <c r="G1" s="49" t="s">
        <v>84</v>
      </c>
    </row>
    <row r="2" spans="1:7" ht="13.5" thickBot="1" x14ac:dyDescent="0.25">
      <c r="A2" s="850" t="s">
        <v>153</v>
      </c>
      <c r="B2" s="851"/>
      <c r="C2" s="851"/>
      <c r="D2" s="851"/>
      <c r="E2" s="64">
        <f>'W&amp;B Report Metric'!E42*('W&amp;B Report Metric'!E43-Config!$J$5)/(Config!$J$5-Config!$D$7)</f>
        <v>62.895652173913042</v>
      </c>
      <c r="F2" s="64">
        <f>'W&amp;B Report Metric'!E42*('W&amp;B Report Metric'!E43-Config!$I$5)/(-Config!$D$7+Config!$I$5)</f>
        <v>114.05573770491803</v>
      </c>
      <c r="G2" s="65" t="s">
        <v>0</v>
      </c>
    </row>
    <row r="3" spans="1:7" x14ac:dyDescent="0.2">
      <c r="A3" s="850" t="s">
        <v>154</v>
      </c>
      <c r="B3" s="851"/>
      <c r="C3" s="851"/>
      <c r="D3" s="851"/>
      <c r="E3" s="44">
        <f>'W&amp;B Report Metric'!E42*('W&amp;B Report Metric'!E43-Config!$J$5)/(Config!$J$5-Config!$D$7)+(Config!D14-Config!J5)/(Config!J5-Config!D7)*Config!C14</f>
        <v>82.726570048309185</v>
      </c>
      <c r="F3" s="44">
        <f>'W&amp;B Report Metric'!E42*('W&amp;B Report Metric'!E43-Config!$I$5)/(-Config!$D$7+Config!$I$5)+(Config!D14-Config!G7)/(Config!G7-Config!D7)*Config!C14</f>
        <v>137.14316939890711</v>
      </c>
      <c r="G3" s="43" t="s">
        <v>0</v>
      </c>
    </row>
    <row r="4" spans="1:7" ht="13.5" thickBot="1" x14ac:dyDescent="0.25">
      <c r="A4" s="852" t="s">
        <v>152</v>
      </c>
      <c r="B4" s="853"/>
      <c r="C4" s="853"/>
      <c r="D4" s="853"/>
      <c r="E4" s="48">
        <f>E3+(Config!D27-Config!J5)/(Config!J5-Config!D7)*Config!C27+(Config!D26-Config!G12)/(Config!G12-Config!D7)*Config!C26</f>
        <v>82.726570048309185</v>
      </c>
      <c r="F4" s="48">
        <f>F3+(Config!D27-Config!G12)/(Config!G12-Config!D7)*Config!C27+(Config!D26-Config!G12)/(Config!G12-Config!D7)*Config!C26</f>
        <v>137.14316939890711</v>
      </c>
      <c r="G4" s="42" t="s">
        <v>0</v>
      </c>
    </row>
    <row r="5" spans="1:7" ht="13.5" thickBot="1" x14ac:dyDescent="0.25">
      <c r="A5" s="176" t="s">
        <v>155</v>
      </c>
      <c r="B5" s="24"/>
      <c r="C5" s="24"/>
      <c r="D5" s="24"/>
      <c r="E5" s="175">
        <f>'W&amp;B Report Metric'!E42*('W&amp;B Report Metric'!E43-Config!$J$5)/(Config!$J$5-Config!$D$7)+(Config!D27-Config!J5)/(Config!J5-Config!D7)*Config!C27+(Config!D26-Config!G12)/(Config!G12-Config!D7)*Config!C26</f>
        <v>62.895652173913042</v>
      </c>
      <c r="F5" s="175">
        <f>F2+(Config!D27-Config!G12)/(Config!G12-Config!D7)*Config!C27+(Config!D26-Config!G12)/(Config!G12-Config!D7)*Config!C26</f>
        <v>114.05573770491803</v>
      </c>
      <c r="G5" s="24"/>
    </row>
    <row r="6" spans="1:7" ht="13.5" thickBot="1" x14ac:dyDescent="0.25">
      <c r="A6" s="854" t="s">
        <v>91</v>
      </c>
      <c r="B6" s="855"/>
      <c r="C6" s="855"/>
      <c r="D6" s="855"/>
      <c r="E6" s="174" t="s">
        <v>22</v>
      </c>
      <c r="F6" s="174" t="s">
        <v>21</v>
      </c>
      <c r="G6" s="49" t="s">
        <v>84</v>
      </c>
    </row>
    <row r="7" spans="1:7" ht="13.5" thickBot="1" x14ac:dyDescent="0.25">
      <c r="A7" s="850" t="s">
        <v>153</v>
      </c>
      <c r="B7" s="851"/>
      <c r="C7" s="851"/>
      <c r="D7" s="851"/>
      <c r="E7" s="64">
        <f>'W&amp;B Report Metric'!E53*('W&amp;B Report Metric'!E54-Config!$J$5)/(Config!$J$5-Config!$D$7)</f>
        <v>64.574115942028968</v>
      </c>
      <c r="F7" s="64">
        <f>'W&amp;B Report Metric'!E53*('W&amp;B Report Metric'!E54-Config!$O$5)/(-Config!$D$7+Config!$O$5)</f>
        <v>118.80154098360653</v>
      </c>
      <c r="G7" s="65" t="s">
        <v>0</v>
      </c>
    </row>
    <row r="8" spans="1:7" x14ac:dyDescent="0.2">
      <c r="A8" s="850" t="s">
        <v>154</v>
      </c>
      <c r="B8" s="851"/>
      <c r="C8" s="851"/>
      <c r="D8" s="851"/>
      <c r="E8" s="44">
        <f>'W&amp;B Report Metric'!E53*('W&amp;B Report Metric'!E54-Config!$J$5)/(Config!$J$5-Config!$D$7)+(Config!D14-Config!J5)/(Config!J5-Config!D7)*Config!C14</f>
        <v>84.405033816425103</v>
      </c>
      <c r="F8" s="44">
        <f>F7+(Config!D14-Config!M12)/(Config!M12-Config!D7)*Config!C14</f>
        <v>140.46129202095094</v>
      </c>
      <c r="G8" s="43" t="s">
        <v>0</v>
      </c>
    </row>
    <row r="9" spans="1:7" ht="13.5" thickBot="1" x14ac:dyDescent="0.25">
      <c r="A9" s="852" t="s">
        <v>152</v>
      </c>
      <c r="B9" s="853"/>
      <c r="C9" s="853"/>
      <c r="D9" s="853"/>
      <c r="E9" s="48">
        <f>E8++(Config!D27-Config!J5)/(Config!J5-Config!D7)*Config!C27+(Config!D26-Config!G12)/(Config!G12-Config!D7)*Config!C26</f>
        <v>84.405033816425103</v>
      </c>
      <c r="F9" s="48">
        <f>F8+(Config!D27-Config!M12)/(Config!M12-Config!D7)*Config!C27+(Config!D26-Config!M12)/(Config!M12-Config!D7)*Config!C26</f>
        <v>140.46129202095094</v>
      </c>
      <c r="G9" s="42" t="s">
        <v>0</v>
      </c>
    </row>
    <row r="10" spans="1:7" x14ac:dyDescent="0.2">
      <c r="A10" s="176" t="s">
        <v>155</v>
      </c>
      <c r="B10" s="24"/>
      <c r="C10" s="24"/>
      <c r="D10" s="24"/>
      <c r="E10" s="175">
        <f>'W&amp;B Report Metric'!E53*('W&amp;B Report Metric'!E54-Config!$J$5)/(Config!$J$5-Config!$D$7)+(Config!D27-Config!J5)/(Config!J5-Config!D7)*Config!C27+(Config!D26-Config!G12)/(Config!G12-Config!D7)*Config!C26</f>
        <v>64.574115942028968</v>
      </c>
      <c r="F10" s="175">
        <f>MIN(115,F7+(Config!D27-Config!M12)/(Config!M12-Config!D7)*Config!C27+(Config!D26-Config!M12)/(Config!M12-Config!D7)*Config!C26)</f>
        <v>115</v>
      </c>
      <c r="G10" s="24"/>
    </row>
    <row r="13" spans="1:7" x14ac:dyDescent="0.2">
      <c r="A13" s="12" t="s">
        <v>156</v>
      </c>
      <c r="C13" s="12" t="s">
        <v>22</v>
      </c>
      <c r="E13" s="12" t="s">
        <v>21</v>
      </c>
    </row>
    <row r="14" spans="1:7" x14ac:dyDescent="0.2">
      <c r="C14" s="12" t="s">
        <v>123</v>
      </c>
      <c r="D14" s="12" t="s">
        <v>69</v>
      </c>
      <c r="E14" s="12" t="s">
        <v>123</v>
      </c>
      <c r="F14" s="12" t="s">
        <v>69</v>
      </c>
    </row>
    <row r="15" spans="1:7" x14ac:dyDescent="0.2">
      <c r="A15" s="12" t="s">
        <v>157</v>
      </c>
    </row>
    <row r="16" spans="1:7" x14ac:dyDescent="0.2">
      <c r="A16" t="s">
        <v>155</v>
      </c>
    </row>
    <row r="17" spans="1:1" x14ac:dyDescent="0.2">
      <c r="A17" t="s">
        <v>154</v>
      </c>
    </row>
    <row r="18" spans="1:1" x14ac:dyDescent="0.2">
      <c r="A18" t="s">
        <v>152</v>
      </c>
    </row>
  </sheetData>
  <mergeCells count="8">
    <mergeCell ref="A8:D8"/>
    <mergeCell ref="A9:D9"/>
    <mergeCell ref="A1:D1"/>
    <mergeCell ref="A2:D2"/>
    <mergeCell ref="A3:D3"/>
    <mergeCell ref="A4:D4"/>
    <mergeCell ref="A6:D6"/>
    <mergeCell ref="A7:D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3"/>
  <dimension ref="A1:G20"/>
  <sheetViews>
    <sheetView workbookViewId="0">
      <selection activeCell="B5" sqref="B5"/>
    </sheetView>
  </sheetViews>
  <sheetFormatPr baseColWidth="10" defaultColWidth="9.140625" defaultRowHeight="12.75" x14ac:dyDescent="0.2"/>
  <cols>
    <col min="1" max="1" width="87.42578125" customWidth="1"/>
  </cols>
  <sheetData>
    <row r="1" spans="1:7" x14ac:dyDescent="0.2">
      <c r="B1">
        <v>15</v>
      </c>
      <c r="C1">
        <v>18</v>
      </c>
    </row>
    <row r="2" spans="1:7" x14ac:dyDescent="0.2">
      <c r="A2" t="s">
        <v>138</v>
      </c>
      <c r="B2" s="220">
        <f>'W&amp;B Report Metric'!E42</f>
        <v>327.2</v>
      </c>
      <c r="C2">
        <f>'W&amp;B Report Metric'!E53</f>
        <v>348.90999999999997</v>
      </c>
      <c r="G2">
        <f>IFERROR(MIN('W&amp;B Report Metric'!E42*('W&amp;B Report Metric'!E43-Config!$I$5)/(-Config!$D$7+Config!$I$5)+(Config!D14-Config!G7)/(Config!G7-Config!D7)*Config!C14,115),"-")</f>
        <v>115</v>
      </c>
    </row>
    <row r="3" spans="1:7" x14ac:dyDescent="0.2">
      <c r="A3" t="s">
        <v>193</v>
      </c>
      <c r="B3">
        <f>'W&amp;B Report Metric'!E43</f>
        <v>588.95171149144255</v>
      </c>
      <c r="C3">
        <f>'W&amp;B Report Metric'!E54</f>
        <v>581.5514316012725</v>
      </c>
    </row>
    <row r="5" spans="1:7" x14ac:dyDescent="0.2">
      <c r="A5" t="s">
        <v>194</v>
      </c>
      <c r="B5">
        <f>B2*(B3-390)/(390+645)</f>
        <v>62.895652173913042</v>
      </c>
      <c r="C5">
        <f>C2*(C3-398)/(398+645)</f>
        <v>61.402617449664412</v>
      </c>
    </row>
    <row r="7" spans="1:7" x14ac:dyDescent="0.2">
      <c r="A7" t="s">
        <v>195</v>
      </c>
      <c r="B7">
        <f>B5+5.7255555</f>
        <v>68.621207673913048</v>
      </c>
      <c r="C7">
        <f>C5+5.725555</f>
        <v>67.128172449664419</v>
      </c>
    </row>
    <row r="9" spans="1:7" x14ac:dyDescent="0.2">
      <c r="B9">
        <f>'W&amp;B Report Metric'!M43</f>
        <v>63</v>
      </c>
      <c r="C9">
        <f>'W&amp;B Report Metric'!M54</f>
        <v>62</v>
      </c>
    </row>
    <row r="13" spans="1:7" x14ac:dyDescent="0.2">
      <c r="A13" t="s">
        <v>196</v>
      </c>
      <c r="B13">
        <f>+(Config!D27-Config!J5)/(Config!J5-Config!D7)*Config!C27</f>
        <v>0</v>
      </c>
      <c r="C13">
        <f>+(Config!D27-Config!P5)/(Config!P5-Config!D7)*Config!C27</f>
        <v>0</v>
      </c>
    </row>
    <row r="15" spans="1:7" x14ac:dyDescent="0.2">
      <c r="A15" t="s">
        <v>197</v>
      </c>
      <c r="B15">
        <f>+(Config!D26-Config!J5)/(Config!J5-Config!D7)*Config!C26</f>
        <v>0</v>
      </c>
      <c r="C15">
        <f>+(Config!D26-Config!P5)/(Config!P5-Config!D7)*Config!C26</f>
        <v>0</v>
      </c>
    </row>
    <row r="17" spans="1:5" x14ac:dyDescent="0.2">
      <c r="B17">
        <f>B13+B15</f>
        <v>0</v>
      </c>
      <c r="C17">
        <f>C13+C15</f>
        <v>0</v>
      </c>
    </row>
    <row r="19" spans="1:5" x14ac:dyDescent="0.2">
      <c r="A19" t="s">
        <v>198</v>
      </c>
      <c r="B19">
        <f>B5+B17</f>
        <v>62.895652173913042</v>
      </c>
      <c r="C19">
        <f>C5+C17</f>
        <v>61.402617449664412</v>
      </c>
      <c r="E19">
        <f>'W&amp;B Report Metric'!E42*('W&amp;B Report Metric'!E43-270)/(270+645)</f>
        <v>114.05573770491803</v>
      </c>
    </row>
    <row r="20" spans="1:5" x14ac:dyDescent="0.2">
      <c r="E20">
        <f>'W&amp;B Report Metric'!E42*('W&amp;B Report Metric'!E43-305)/(305+645)</f>
        <v>97.798947368421054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IV68"/>
  <sheetViews>
    <sheetView zoomScaleNormal="100" zoomScaleSheetLayoutView="115" workbookViewId="0">
      <selection activeCell="N61" sqref="N61"/>
    </sheetView>
  </sheetViews>
  <sheetFormatPr baseColWidth="10" defaultColWidth="0" defaultRowHeight="12.75" zeroHeight="1" x14ac:dyDescent="0.2"/>
  <cols>
    <col min="1" max="1" width="1.28515625" customWidth="1"/>
    <col min="2" max="2" width="5.7109375" customWidth="1"/>
    <col min="3" max="3" width="12" customWidth="1"/>
    <col min="4" max="4" width="11.7109375" customWidth="1"/>
    <col min="5" max="5" width="10.5703125" customWidth="1"/>
    <col min="6" max="6" width="6" customWidth="1"/>
    <col min="7" max="7" width="4.5703125" customWidth="1"/>
    <col min="8" max="8" width="6.28515625" customWidth="1"/>
    <col min="9" max="9" width="3.7109375" customWidth="1"/>
    <col min="10" max="10" width="5.5703125" customWidth="1"/>
    <col min="11" max="11" width="10.7109375" customWidth="1"/>
    <col min="12" max="12" width="8.7109375" customWidth="1"/>
    <col min="13" max="13" width="10.5703125" customWidth="1"/>
    <col min="14" max="14" width="9.85546875" customWidth="1"/>
    <col min="15" max="15" width="5.42578125" customWidth="1"/>
    <col min="16" max="16" width="1.28515625" customWidth="1"/>
    <col min="17" max="17" width="0.28515625" customWidth="1"/>
    <col min="18" max="19" width="9.28515625" hidden="1" customWidth="1"/>
    <col min="20" max="20" width="20.28515625" hidden="1" customWidth="1"/>
    <col min="21" max="256" width="46.28515625" hidden="1" customWidth="1"/>
    <col min="257" max="16384" width="9.28515625" hidden="1"/>
  </cols>
  <sheetData>
    <row r="1" spans="1:16" ht="20.45" customHeight="1" x14ac:dyDescent="0.2">
      <c r="A1" s="20"/>
      <c r="B1" s="21"/>
      <c r="C1" s="21"/>
      <c r="D1" s="22"/>
      <c r="E1" s="729" t="s">
        <v>291</v>
      </c>
      <c r="F1" s="730"/>
      <c r="G1" s="730"/>
      <c r="H1" s="730"/>
      <c r="I1" s="730"/>
      <c r="J1" s="730"/>
      <c r="K1" s="730"/>
      <c r="L1" s="731"/>
      <c r="M1" s="20"/>
      <c r="N1" s="21"/>
      <c r="O1" s="21"/>
      <c r="P1" s="22"/>
    </row>
    <row r="2" spans="1:16" ht="12.95" customHeight="1" x14ac:dyDescent="0.2">
      <c r="A2" s="23"/>
      <c r="B2" s="24"/>
      <c r="C2" s="24"/>
      <c r="D2" s="25"/>
      <c r="E2" s="732"/>
      <c r="F2" s="733"/>
      <c r="G2" s="733"/>
      <c r="H2" s="733"/>
      <c r="I2" s="733"/>
      <c r="J2" s="733"/>
      <c r="K2" s="733"/>
      <c r="L2" s="734"/>
      <c r="M2" s="674" t="s">
        <v>189</v>
      </c>
      <c r="N2" s="675"/>
      <c r="O2" s="675"/>
      <c r="P2" s="676"/>
    </row>
    <row r="3" spans="1:16" ht="12.95" customHeight="1" x14ac:dyDescent="0.2">
      <c r="A3" s="23"/>
      <c r="B3" s="24"/>
      <c r="C3" s="24"/>
      <c r="D3" s="25"/>
      <c r="E3" s="732"/>
      <c r="F3" s="733"/>
      <c r="G3" s="733"/>
      <c r="H3" s="733"/>
      <c r="I3" s="733"/>
      <c r="J3" s="733"/>
      <c r="K3" s="733"/>
      <c r="L3" s="734"/>
      <c r="M3" s="218" t="s">
        <v>190</v>
      </c>
      <c r="N3" s="46">
        <f>MAX('Revision History'!A17:A100)</f>
        <v>23</v>
      </c>
      <c r="O3" s="46"/>
      <c r="P3" s="219"/>
    </row>
    <row r="4" spans="1:16" ht="12.95" customHeight="1" thickBot="1" x14ac:dyDescent="0.25">
      <c r="A4" s="31"/>
      <c r="B4" s="32"/>
      <c r="C4" s="98"/>
      <c r="D4" s="99"/>
      <c r="E4" s="735"/>
      <c r="F4" s="736"/>
      <c r="G4" s="736"/>
      <c r="H4" s="736"/>
      <c r="I4" s="736"/>
      <c r="J4" s="736"/>
      <c r="K4" s="736"/>
      <c r="L4" s="737"/>
      <c r="M4" s="209"/>
      <c r="N4" s="207"/>
      <c r="O4" s="207"/>
      <c r="P4" s="208"/>
    </row>
    <row r="5" spans="1:16" ht="12.4" customHeight="1" x14ac:dyDescent="0.2">
      <c r="A5" s="23"/>
      <c r="B5" s="24"/>
      <c r="C5" s="24"/>
      <c r="D5" s="24"/>
      <c r="E5" s="24"/>
      <c r="F5" s="24"/>
      <c r="G5" s="53"/>
      <c r="H5" s="53"/>
      <c r="I5" s="53"/>
      <c r="J5" s="53"/>
      <c r="K5" s="53"/>
      <c r="L5" s="53"/>
      <c r="M5" s="53"/>
      <c r="N5" s="53"/>
      <c r="O5" s="53"/>
      <c r="P5" s="54"/>
    </row>
    <row r="6" spans="1:16" ht="24" customHeight="1" x14ac:dyDescent="0.2">
      <c r="A6" s="685" t="str">
        <f>'Entry Form'!B6</f>
        <v>Aircraft Registration Number</v>
      </c>
      <c r="B6" s="683"/>
      <c r="C6" s="683"/>
      <c r="D6" s="684"/>
      <c r="E6" s="141" t="str">
        <f>'Entry Form'!E6</f>
        <v>D-KPWZ</v>
      </c>
      <c r="F6" s="686" t="str">
        <f>'Entry Form'!G6</f>
        <v>Aircraft Serial Number</v>
      </c>
      <c r="G6" s="683"/>
      <c r="H6" s="683"/>
      <c r="I6" s="683"/>
      <c r="J6" s="684"/>
      <c r="K6" s="434" t="str">
        <f>'Entry Form'!K6</f>
        <v>3.MD132</v>
      </c>
      <c r="L6" s="682" t="str">
        <f>'Entry Form'!N6</f>
        <v>Span Variants</v>
      </c>
      <c r="M6" s="684"/>
      <c r="N6" s="727" t="str">
        <f>'Entry Form'!O6</f>
        <v>15m&amp;18m</v>
      </c>
      <c r="O6" s="683"/>
      <c r="P6" s="728"/>
    </row>
    <row r="7" spans="1:16" ht="12.6" customHeight="1" thickBot="1" x14ac:dyDescent="0.25">
      <c r="A7" s="31"/>
      <c r="B7" s="41"/>
      <c r="C7" s="41"/>
      <c r="D7" s="41"/>
      <c r="E7" s="41"/>
      <c r="F7" s="41"/>
      <c r="G7" s="41"/>
      <c r="H7" s="41"/>
      <c r="I7" s="41"/>
      <c r="J7" s="41"/>
      <c r="K7" s="41"/>
      <c r="L7" s="41"/>
      <c r="M7" s="41"/>
      <c r="N7" s="41"/>
      <c r="O7" s="41"/>
      <c r="P7" s="27"/>
    </row>
    <row r="8" spans="1:16" ht="15.75" x14ac:dyDescent="0.25">
      <c r="A8" s="23"/>
      <c r="B8" s="37" t="s">
        <v>4</v>
      </c>
      <c r="C8" s="24"/>
      <c r="D8" s="52"/>
      <c r="E8" s="52" t="s">
        <v>5</v>
      </c>
      <c r="F8" s="52"/>
      <c r="G8" s="52"/>
      <c r="H8" s="52"/>
      <c r="I8" s="52"/>
      <c r="J8" s="45"/>
      <c r="K8" s="45"/>
      <c r="L8" s="45"/>
      <c r="M8" s="24"/>
      <c r="N8" s="24"/>
      <c r="O8" s="24"/>
      <c r="P8" s="25"/>
    </row>
    <row r="9" spans="1:16" x14ac:dyDescent="0.2">
      <c r="A9" s="23"/>
      <c r="B9" s="24"/>
      <c r="C9" s="24"/>
      <c r="D9" s="52"/>
      <c r="E9" s="52" t="s">
        <v>140</v>
      </c>
      <c r="F9" s="52"/>
      <c r="G9" s="52"/>
      <c r="H9" s="52"/>
      <c r="I9" s="52"/>
      <c r="J9" s="45"/>
      <c r="K9" s="45"/>
      <c r="L9" s="45"/>
      <c r="M9" s="24"/>
      <c r="N9" s="24"/>
      <c r="O9" s="24"/>
      <c r="P9" s="25"/>
    </row>
    <row r="10" spans="1:16" ht="12.6" customHeight="1" thickBot="1" x14ac:dyDescent="0.25">
      <c r="A10" s="31"/>
      <c r="B10" s="32"/>
      <c r="C10" s="32"/>
      <c r="D10" s="33"/>
      <c r="E10" s="33"/>
      <c r="F10" s="33"/>
      <c r="G10" s="33"/>
      <c r="H10" s="33"/>
      <c r="I10" s="33"/>
      <c r="J10" s="41"/>
      <c r="K10" s="41"/>
      <c r="L10" s="41"/>
      <c r="M10" s="32"/>
      <c r="N10" s="32"/>
      <c r="O10" s="32"/>
      <c r="P10" s="34"/>
    </row>
    <row r="11" spans="1:16" ht="16.5" thickBot="1" x14ac:dyDescent="0.3">
      <c r="A11" s="23"/>
      <c r="B11" s="252" t="s">
        <v>14</v>
      </c>
      <c r="C11" s="252"/>
      <c r="D11" s="252"/>
      <c r="E11" s="252"/>
      <c r="F11" s="252"/>
      <c r="G11" s="252"/>
      <c r="H11" s="252"/>
      <c r="I11" s="252"/>
      <c r="J11" s="37"/>
      <c r="K11" s="37"/>
      <c r="L11" s="37"/>
      <c r="M11" s="37"/>
      <c r="N11" s="37"/>
      <c r="O11" s="37"/>
      <c r="P11" s="97"/>
    </row>
    <row r="12" spans="1:16" ht="13.5" thickBot="1" x14ac:dyDescent="0.25">
      <c r="A12" s="23"/>
      <c r="B12" s="185"/>
      <c r="C12" s="182" t="s">
        <v>123</v>
      </c>
      <c r="D12" s="182" t="s">
        <v>69</v>
      </c>
      <c r="E12" s="186" t="s">
        <v>84</v>
      </c>
      <c r="F12" s="24"/>
      <c r="G12" s="24"/>
      <c r="H12" s="24"/>
      <c r="I12" s="24"/>
      <c r="J12" s="24"/>
      <c r="K12" s="24"/>
      <c r="L12" s="24"/>
      <c r="M12" s="24"/>
      <c r="N12" s="24"/>
      <c r="O12" s="24"/>
      <c r="P12" s="25"/>
    </row>
    <row r="13" spans="1:16" ht="12.4" customHeight="1" x14ac:dyDescent="0.2">
      <c r="A13" s="23"/>
      <c r="B13" s="183" t="s">
        <v>15</v>
      </c>
      <c r="C13" s="516">
        <f>IFERROR('Entry Form'!G43*2.2,"-")</f>
        <v>643.28</v>
      </c>
      <c r="D13" s="516">
        <f>IFERROR('Entry Form'!H43*2.205,"-")</f>
        <v>688.84199999999998</v>
      </c>
      <c r="E13" s="184" t="s">
        <v>103</v>
      </c>
      <c r="F13" s="24"/>
      <c r="G13" s="24"/>
      <c r="H13" s="24"/>
      <c r="I13" s="24"/>
      <c r="J13" s="24"/>
      <c r="K13" s="24"/>
      <c r="L13" s="24"/>
      <c r="M13" s="24"/>
      <c r="N13" s="24"/>
      <c r="O13" s="24"/>
      <c r="P13" s="25"/>
    </row>
    <row r="14" spans="1:16" x14ac:dyDescent="0.2">
      <c r="A14" s="23"/>
      <c r="B14" s="57" t="s">
        <v>16</v>
      </c>
      <c r="C14" s="517">
        <f>IFERROR('Entry Form'!G45*2.2,"-")</f>
        <v>76.56</v>
      </c>
      <c r="D14" s="517">
        <f>IFERROR('Entry Form'!H45*2.205,"-")</f>
        <v>80.504549999999995</v>
      </c>
      <c r="E14" s="58" t="s">
        <v>103</v>
      </c>
      <c r="F14" s="24"/>
      <c r="G14" s="24"/>
      <c r="H14" s="24"/>
      <c r="I14" s="24"/>
      <c r="J14" s="24"/>
      <c r="K14" s="24"/>
      <c r="L14" s="24"/>
      <c r="M14" s="24"/>
      <c r="N14" s="24"/>
      <c r="O14" s="24"/>
      <c r="P14" s="25"/>
    </row>
    <row r="15" spans="1:16" ht="12.4" customHeight="1" x14ac:dyDescent="0.2">
      <c r="A15" s="23"/>
      <c r="B15" s="57" t="s">
        <v>377</v>
      </c>
      <c r="C15" s="718">
        <f>'W&amp;B Report Metric'!C15:D15/25.4</f>
        <v>5.1377952755905518</v>
      </c>
      <c r="D15" s="719"/>
      <c r="E15" s="58" t="s">
        <v>102</v>
      </c>
      <c r="F15" s="24"/>
      <c r="G15" s="24"/>
      <c r="H15" s="24"/>
      <c r="I15" s="24"/>
      <c r="J15" s="24"/>
      <c r="K15" s="24"/>
      <c r="L15" s="24"/>
      <c r="M15" s="24"/>
      <c r="N15" s="24"/>
      <c r="O15" s="24"/>
      <c r="P15" s="25"/>
    </row>
    <row r="16" spans="1:16" x14ac:dyDescent="0.2">
      <c r="A16" s="23"/>
      <c r="B16" s="57" t="s">
        <v>378</v>
      </c>
      <c r="C16" s="718">
        <f>'W&amp;B Report Metric'!$C$16:$D$16/25.4</f>
        <v>169.70472440944883</v>
      </c>
      <c r="D16" s="719"/>
      <c r="E16" s="58" t="s">
        <v>102</v>
      </c>
      <c r="F16" s="24"/>
      <c r="G16" s="24"/>
      <c r="H16" s="24"/>
      <c r="I16" s="24"/>
      <c r="J16" s="24"/>
      <c r="K16" s="24"/>
      <c r="L16" s="24"/>
      <c r="M16" s="24"/>
      <c r="N16" s="24"/>
      <c r="O16" s="24"/>
      <c r="P16" s="25"/>
    </row>
    <row r="17" spans="1:16" x14ac:dyDescent="0.2">
      <c r="A17" s="23"/>
      <c r="B17" s="57" t="s">
        <v>76</v>
      </c>
      <c r="C17" s="720">
        <f>'Entry Form'!K37/25.4</f>
        <v>174.84251968503938</v>
      </c>
      <c r="D17" s="720"/>
      <c r="E17" s="58" t="s">
        <v>102</v>
      </c>
      <c r="F17" s="24"/>
      <c r="G17" s="24"/>
      <c r="H17" s="24"/>
      <c r="I17" s="24"/>
      <c r="J17" s="24"/>
      <c r="K17" s="24"/>
      <c r="L17" s="24"/>
      <c r="M17" s="24"/>
      <c r="N17" s="24"/>
      <c r="O17" s="24"/>
      <c r="P17" s="25"/>
    </row>
    <row r="18" spans="1:16" x14ac:dyDescent="0.2">
      <c r="A18" s="23"/>
      <c r="B18" s="57" t="s">
        <v>88</v>
      </c>
      <c r="C18" s="720">
        <f>'Entry Form'!K38/25.4</f>
        <v>23.622047244094489</v>
      </c>
      <c r="D18" s="720"/>
      <c r="E18" s="58" t="s">
        <v>102</v>
      </c>
      <c r="F18" s="24"/>
      <c r="G18" s="24"/>
      <c r="H18" s="24"/>
      <c r="I18" s="24"/>
      <c r="J18" s="24"/>
      <c r="K18" s="24"/>
      <c r="L18" s="24"/>
      <c r="M18" s="24"/>
      <c r="N18" s="24"/>
      <c r="O18" s="24"/>
      <c r="P18" s="25"/>
    </row>
    <row r="19" spans="1:16" ht="13.5" thickBot="1" x14ac:dyDescent="0.25">
      <c r="A19" s="23"/>
      <c r="B19" s="59" t="s">
        <v>75</v>
      </c>
      <c r="C19" s="721">
        <f>'Entry Form'!G39/25.4</f>
        <v>169.68503937007875</v>
      </c>
      <c r="D19" s="721"/>
      <c r="E19" s="60" t="s">
        <v>102</v>
      </c>
      <c r="F19" s="24"/>
      <c r="G19" s="24"/>
      <c r="H19" s="24"/>
      <c r="I19" s="24"/>
      <c r="J19" s="24"/>
      <c r="K19" s="24"/>
      <c r="L19" s="24"/>
      <c r="M19" s="24"/>
      <c r="N19" s="24"/>
      <c r="O19" s="24"/>
      <c r="P19" s="25"/>
    </row>
    <row r="20" spans="1:16" x14ac:dyDescent="0.2">
      <c r="A20" s="23"/>
      <c r="B20" s="24"/>
      <c r="C20" s="24"/>
      <c r="D20" s="24"/>
      <c r="E20" s="24"/>
      <c r="F20" s="24"/>
      <c r="G20" s="24"/>
      <c r="H20" s="24"/>
      <c r="I20" s="24"/>
      <c r="J20" s="24"/>
      <c r="K20" s="24"/>
      <c r="L20" s="24"/>
      <c r="M20" s="24"/>
      <c r="N20" s="24"/>
      <c r="O20" s="24"/>
      <c r="P20" s="25"/>
    </row>
    <row r="21" spans="1:16" x14ac:dyDescent="0.2">
      <c r="A21" s="23"/>
      <c r="B21" s="24"/>
      <c r="C21" s="24"/>
      <c r="D21" s="24"/>
      <c r="E21" s="24"/>
      <c r="F21" s="24"/>
      <c r="G21" s="24"/>
      <c r="H21" s="24"/>
      <c r="I21" s="24"/>
      <c r="J21" s="24"/>
      <c r="K21" s="24"/>
      <c r="L21" s="24"/>
      <c r="M21" s="24"/>
      <c r="N21" s="24"/>
      <c r="O21" s="24"/>
      <c r="P21" s="25"/>
    </row>
    <row r="22" spans="1:16" x14ac:dyDescent="0.2">
      <c r="A22" s="23"/>
      <c r="B22" s="24"/>
      <c r="C22" s="24"/>
      <c r="D22" s="24"/>
      <c r="E22" s="24"/>
      <c r="F22" s="24"/>
      <c r="G22" s="24"/>
      <c r="H22" s="24"/>
      <c r="I22" s="24"/>
      <c r="J22" s="24"/>
      <c r="K22" s="24"/>
      <c r="L22" s="24"/>
      <c r="M22" s="24"/>
      <c r="N22" s="24"/>
      <c r="O22" s="24"/>
      <c r="P22" s="25"/>
    </row>
    <row r="23" spans="1:16" x14ac:dyDescent="0.2">
      <c r="A23" s="23"/>
      <c r="B23" s="24"/>
      <c r="C23" s="24"/>
      <c r="D23" s="24"/>
      <c r="E23" s="24"/>
      <c r="F23" s="24"/>
      <c r="G23" s="24"/>
      <c r="H23" s="24"/>
      <c r="I23" s="24"/>
      <c r="J23" s="24"/>
      <c r="K23" s="24"/>
      <c r="L23" s="24"/>
      <c r="M23" s="24"/>
      <c r="N23" s="24"/>
      <c r="O23" s="24"/>
      <c r="P23" s="25"/>
    </row>
    <row r="24" spans="1:16" ht="13.5" thickBot="1" x14ac:dyDescent="0.25">
      <c r="A24" s="23"/>
      <c r="B24" s="24"/>
      <c r="C24" s="24"/>
      <c r="D24" s="24"/>
      <c r="E24" s="24"/>
      <c r="F24" s="24"/>
      <c r="G24" s="24"/>
      <c r="H24" s="24"/>
      <c r="I24" s="24"/>
      <c r="J24" s="24"/>
      <c r="K24" s="24"/>
      <c r="L24" s="24"/>
      <c r="M24" s="24"/>
      <c r="N24" s="24"/>
      <c r="O24" s="24"/>
      <c r="P24" s="25"/>
    </row>
    <row r="25" spans="1:16" ht="15.75" thickBot="1" x14ac:dyDescent="0.25">
      <c r="A25" s="23"/>
      <c r="B25" s="305" t="s">
        <v>269</v>
      </c>
      <c r="C25" s="303"/>
      <c r="D25" s="303"/>
      <c r="E25" s="303"/>
      <c r="F25" s="304"/>
      <c r="G25" s="24"/>
      <c r="H25" s="306" t="s">
        <v>18</v>
      </c>
      <c r="I25" s="287"/>
      <c r="J25" s="287"/>
      <c r="K25" s="287"/>
      <c r="L25" s="288" t="s">
        <v>122</v>
      </c>
      <c r="M25" s="315" t="s">
        <v>69</v>
      </c>
      <c r="N25" s="319" t="s">
        <v>263</v>
      </c>
      <c r="O25" s="289" t="s">
        <v>84</v>
      </c>
      <c r="P25" s="25"/>
    </row>
    <row r="26" spans="1:16" x14ac:dyDescent="0.2">
      <c r="A26" s="23"/>
      <c r="B26" s="722" t="str">
        <f>'Entry Form'!M13</f>
        <v>RES system (excl batteries)</v>
      </c>
      <c r="C26" s="723"/>
      <c r="D26" s="724"/>
      <c r="E26" s="312" t="str">
        <f>'Entry Form'!O13</f>
        <v>yes</v>
      </c>
      <c r="F26" s="272"/>
      <c r="G26" s="24"/>
      <c r="H26" s="284">
        <v>1</v>
      </c>
      <c r="I26" s="725" t="s">
        <v>7</v>
      </c>
      <c r="J26" s="726"/>
      <c r="K26" s="726"/>
      <c r="L26" s="290">
        <f>'Entry Form'!O31*2.205</f>
        <v>147.9555</v>
      </c>
      <c r="M26" s="290">
        <f>'Entry Form'!O31*2.205</f>
        <v>147.9555</v>
      </c>
      <c r="N26" s="284"/>
      <c r="O26" s="291" t="s">
        <v>159</v>
      </c>
      <c r="P26" s="25"/>
    </row>
    <row r="27" spans="1:16" x14ac:dyDescent="0.2">
      <c r="A27" s="23"/>
      <c r="B27" s="703" t="str">
        <f>'Entry Form'!M14</f>
        <v>Upholstery type</v>
      </c>
      <c r="C27" s="704"/>
      <c r="D27" s="705"/>
      <c r="E27" s="313" t="str">
        <f>'Entry Form'!O14</f>
        <v>Leather</v>
      </c>
      <c r="F27" s="273"/>
      <c r="G27" s="24"/>
      <c r="H27" s="285">
        <v>2</v>
      </c>
      <c r="I27" s="711" t="s">
        <v>132</v>
      </c>
      <c r="J27" s="712"/>
      <c r="K27" s="712"/>
      <c r="L27" s="292">
        <f>IFERROR('Entry Form'!O35*2.205,"-")</f>
        <v>11.796749999999999</v>
      </c>
      <c r="M27" s="322" t="s">
        <v>268</v>
      </c>
      <c r="N27" s="285"/>
      <c r="O27" s="293" t="s">
        <v>159</v>
      </c>
      <c r="P27" s="25"/>
    </row>
    <row r="28" spans="1:16" x14ac:dyDescent="0.2">
      <c r="A28" s="23"/>
      <c r="B28" s="703" t="str">
        <f>'Entry Form'!M15</f>
        <v>Tailwheel type</v>
      </c>
      <c r="C28" s="704"/>
      <c r="D28" s="705"/>
      <c r="E28" s="313" t="str">
        <f>'Entry Form'!O15</f>
        <v>Retractable</v>
      </c>
      <c r="F28" s="273"/>
      <c r="G28" s="24"/>
      <c r="H28" s="285">
        <v>3</v>
      </c>
      <c r="I28" s="711" t="s">
        <v>79</v>
      </c>
      <c r="J28" s="712"/>
      <c r="K28" s="712"/>
      <c r="L28" s="321" t="s">
        <v>268</v>
      </c>
      <c r="M28" s="317">
        <f>'Entry Form'!O38*2.205</f>
        <v>35.500500000000002</v>
      </c>
      <c r="N28" s="285"/>
      <c r="O28" s="293" t="s">
        <v>159</v>
      </c>
      <c r="P28" s="25"/>
    </row>
    <row r="29" spans="1:16" x14ac:dyDescent="0.2">
      <c r="A29" s="23"/>
      <c r="B29" s="703" t="str">
        <f>'Entry Form'!M16</f>
        <v>Bug wiper motors (x2)</v>
      </c>
      <c r="C29" s="704"/>
      <c r="D29" s="705"/>
      <c r="E29" s="313" t="str">
        <f>'Entry Form'!O16</f>
        <v>yes</v>
      </c>
      <c r="F29" s="273"/>
      <c r="G29" s="24"/>
      <c r="H29" s="285">
        <v>4</v>
      </c>
      <c r="I29" s="711" t="s">
        <v>8</v>
      </c>
      <c r="J29" s="712"/>
      <c r="K29" s="712"/>
      <c r="L29" s="292">
        <f>'Entry Form'!O33*2.205</f>
        <v>147.40424999999999</v>
      </c>
      <c r="M29" s="317">
        <f>'Entry Form'!O33*2.205</f>
        <v>147.40424999999999</v>
      </c>
      <c r="N29" s="285"/>
      <c r="O29" s="293" t="s">
        <v>159</v>
      </c>
      <c r="P29" s="25"/>
    </row>
    <row r="30" spans="1:16" x14ac:dyDescent="0.2">
      <c r="A30" s="23"/>
      <c r="B30" s="703" t="str">
        <f>'Entry Form'!M17</f>
        <v>Tailwheel hub</v>
      </c>
      <c r="C30" s="704"/>
      <c r="D30" s="705"/>
      <c r="E30" s="313" t="str">
        <f>'Entry Form'!O17</f>
        <v>Aluminium</v>
      </c>
      <c r="F30" s="273"/>
      <c r="G30" s="24"/>
      <c r="H30" s="285">
        <v>5</v>
      </c>
      <c r="I30" s="711" t="s">
        <v>133</v>
      </c>
      <c r="J30" s="712"/>
      <c r="K30" s="712"/>
      <c r="L30" s="292">
        <f>IFERROR('Entry Form'!O37*2.205,"-")</f>
        <v>11.686500000000001</v>
      </c>
      <c r="M30" s="322" t="s">
        <v>268</v>
      </c>
      <c r="N30" s="285"/>
      <c r="O30" s="293" t="s">
        <v>159</v>
      </c>
      <c r="P30" s="25"/>
    </row>
    <row r="31" spans="1:16" x14ac:dyDescent="0.2">
      <c r="A31" s="23"/>
      <c r="B31" s="703" t="str">
        <f>'Entry Form'!M18</f>
        <v>Transponder antenna</v>
      </c>
      <c r="C31" s="704"/>
      <c r="D31" s="705"/>
      <c r="E31" s="313" t="str">
        <f>'Entry Form'!O18</f>
        <v>yes</v>
      </c>
      <c r="F31" s="273"/>
      <c r="G31" s="24"/>
      <c r="H31" s="285">
        <v>6</v>
      </c>
      <c r="I31" s="711" t="s">
        <v>80</v>
      </c>
      <c r="J31" s="712"/>
      <c r="K31" s="712"/>
      <c r="L31" s="321" t="s">
        <v>268</v>
      </c>
      <c r="M31" s="317">
        <f>'Entry Form'!O39*2.205</f>
        <v>35.610749999999996</v>
      </c>
      <c r="N31" s="285"/>
      <c r="O31" s="293" t="s">
        <v>159</v>
      </c>
      <c r="P31" s="25"/>
    </row>
    <row r="32" spans="1:16" x14ac:dyDescent="0.2">
      <c r="A32" s="23"/>
      <c r="B32" s="703" t="str">
        <f>'Entry Form'!M19</f>
        <v>Flight Manual</v>
      </c>
      <c r="C32" s="704"/>
      <c r="D32" s="705"/>
      <c r="E32" s="313" t="str">
        <f>'Entry Form'!O19</f>
        <v>No</v>
      </c>
      <c r="F32" s="273"/>
      <c r="G32" s="24"/>
      <c r="H32" s="285">
        <v>7</v>
      </c>
      <c r="I32" s="711" t="s">
        <v>60</v>
      </c>
      <c r="J32" s="712"/>
      <c r="K32" s="712"/>
      <c r="L32" s="292">
        <f>'Entry Form'!O40*2.205</f>
        <v>13.23</v>
      </c>
      <c r="M32" s="317">
        <f>'Entry Form'!O40*2.205</f>
        <v>13.23</v>
      </c>
      <c r="N32" s="292">
        <f>L32*2.205</f>
        <v>29.172150000000002</v>
      </c>
      <c r="O32" s="293" t="s">
        <v>159</v>
      </c>
      <c r="P32" s="25"/>
    </row>
    <row r="33" spans="1:17" ht="13.5" thickBot="1" x14ac:dyDescent="0.25">
      <c r="A33" s="23"/>
      <c r="B33" s="703" t="str">
        <f>'Entry Form'!M20</f>
        <v>Flight Folio</v>
      </c>
      <c r="C33" s="704"/>
      <c r="D33" s="705"/>
      <c r="E33" s="313" t="str">
        <f>'Entry Form'!O20</f>
        <v>No</v>
      </c>
      <c r="F33" s="273"/>
      <c r="G33" s="24"/>
      <c r="H33" s="294">
        <v>8</v>
      </c>
      <c r="I33" s="713" t="s">
        <v>61</v>
      </c>
      <c r="J33" s="714"/>
      <c r="K33" s="714"/>
      <c r="L33" s="295">
        <f>('Entry Form'!O42+SUM('Entry Form'!F50:F59))*2.205</f>
        <v>379.63484999999997</v>
      </c>
      <c r="M33" s="318">
        <f>('Entry Form'!O42+SUM('Entry Form'!F50:F59))*2.205</f>
        <v>379.63484999999997</v>
      </c>
      <c r="N33" s="320">
        <f>L33*2.205</f>
        <v>837.09484424999994</v>
      </c>
      <c r="O33" s="296" t="s">
        <v>159</v>
      </c>
      <c r="P33" s="25"/>
    </row>
    <row r="34" spans="1:17" x14ac:dyDescent="0.2">
      <c r="A34" s="23"/>
      <c r="B34" s="703" t="str">
        <f>'Entry Form'!M21</f>
        <v>Rigging Tool</v>
      </c>
      <c r="C34" s="704"/>
      <c r="D34" s="705"/>
      <c r="E34" s="313" t="str">
        <f>'Entry Form'!O21</f>
        <v>No</v>
      </c>
      <c r="F34" s="273"/>
      <c r="G34" s="24"/>
      <c r="H34" s="297"/>
      <c r="I34" s="298"/>
      <c r="J34" s="298"/>
      <c r="K34" s="298"/>
      <c r="L34" s="299"/>
      <c r="M34" s="300"/>
      <c r="N34" s="301"/>
      <c r="O34" s="302"/>
      <c r="P34" s="25"/>
    </row>
    <row r="35" spans="1:17" x14ac:dyDescent="0.2">
      <c r="A35" s="23"/>
      <c r="B35" s="703" t="str">
        <f>'Entry Form'!M22</f>
        <v>12V Main Battery 1</v>
      </c>
      <c r="C35" s="704"/>
      <c r="D35" s="705"/>
      <c r="E35" s="313" t="str">
        <f>'Entry Form'!O22</f>
        <v>LifePo</v>
      </c>
      <c r="F35" s="273"/>
      <c r="G35" s="79">
        <v>1</v>
      </c>
      <c r="H35" s="715" t="s">
        <v>267</v>
      </c>
      <c r="I35" s="716"/>
      <c r="J35" s="716"/>
      <c r="K35" s="716"/>
      <c r="L35" s="717"/>
      <c r="M35" s="717"/>
      <c r="N35" s="717"/>
      <c r="O35" s="717"/>
      <c r="P35" s="25"/>
    </row>
    <row r="36" spans="1:17" ht="12.75" customHeight="1" x14ac:dyDescent="0.2">
      <c r="A36" s="23"/>
      <c r="B36" s="703" t="str">
        <f>'Entry Form'!M23</f>
        <v>12V Main Battery 2</v>
      </c>
      <c r="C36" s="704"/>
      <c r="D36" s="705"/>
      <c r="E36" s="313" t="str">
        <f>'Entry Form'!O23</f>
        <v>LifePo</v>
      </c>
      <c r="F36" s="273"/>
      <c r="G36" s="79">
        <v>2</v>
      </c>
      <c r="H36" s="706" t="s">
        <v>264</v>
      </c>
      <c r="I36" s="707"/>
      <c r="J36" s="707"/>
      <c r="K36" s="707"/>
      <c r="L36" s="707"/>
      <c r="M36" s="707"/>
      <c r="N36" s="707"/>
      <c r="O36" s="24"/>
      <c r="P36" s="25"/>
    </row>
    <row r="37" spans="1:17" ht="13.5" thickBot="1" x14ac:dyDescent="0.25">
      <c r="A37" s="23"/>
      <c r="B37" s="708" t="str">
        <f>'Entry Form'!M25</f>
        <v>CofG Requested:</v>
      </c>
      <c r="C37" s="709"/>
      <c r="D37" s="710"/>
      <c r="E37" s="314">
        <f>'Entry Form'!O25</f>
        <v>0</v>
      </c>
      <c r="F37" s="274"/>
      <c r="G37" s="79"/>
      <c r="H37" s="707"/>
      <c r="I37" s="707"/>
      <c r="J37" s="707"/>
      <c r="K37" s="707"/>
      <c r="L37" s="707"/>
      <c r="M37" s="707"/>
      <c r="N37" s="707"/>
      <c r="O37" s="24"/>
      <c r="P37" s="25"/>
    </row>
    <row r="38" spans="1:17" x14ac:dyDescent="0.2">
      <c r="A38" s="23"/>
      <c r="B38" s="24"/>
      <c r="C38" s="24"/>
      <c r="D38" s="24"/>
      <c r="E38" s="24"/>
      <c r="F38" s="24"/>
      <c r="G38" s="24"/>
      <c r="H38" s="270"/>
      <c r="I38" s="24"/>
      <c r="J38" s="24"/>
      <c r="K38" s="24"/>
      <c r="L38" s="24"/>
      <c r="M38" s="24"/>
      <c r="N38" s="24"/>
      <c r="O38" s="24"/>
      <c r="P38" s="25"/>
    </row>
    <row r="39" spans="1:17" ht="15.75" x14ac:dyDescent="0.25">
      <c r="A39" s="23"/>
      <c r="B39" s="37" t="s">
        <v>271</v>
      </c>
      <c r="C39" s="24"/>
      <c r="D39" s="24"/>
      <c r="E39" s="24"/>
      <c r="F39" s="24"/>
      <c r="G39" s="24"/>
      <c r="H39" s="270"/>
      <c r="I39" s="24"/>
      <c r="J39" s="24"/>
      <c r="K39" s="24"/>
      <c r="L39" s="24"/>
      <c r="M39" s="24"/>
      <c r="N39" s="24"/>
      <c r="O39" s="24"/>
      <c r="P39" s="25"/>
    </row>
    <row r="40" spans="1:17" ht="13.5" thickBot="1" x14ac:dyDescent="0.25">
      <c r="A40" s="23"/>
      <c r="B40" s="24"/>
      <c r="C40" s="24"/>
      <c r="D40" s="24"/>
      <c r="E40" s="24"/>
      <c r="F40" s="24"/>
      <c r="G40" s="24"/>
      <c r="H40" s="24"/>
      <c r="I40" s="24"/>
      <c r="J40" s="24"/>
      <c r="K40" s="24"/>
      <c r="L40" s="24"/>
      <c r="M40" s="24"/>
      <c r="N40" s="24"/>
      <c r="O40" s="24"/>
      <c r="P40" s="25"/>
    </row>
    <row r="41" spans="1:17" ht="15.75" thickBot="1" x14ac:dyDescent="0.3">
      <c r="A41" s="23"/>
      <c r="B41" s="690" t="s">
        <v>160</v>
      </c>
      <c r="C41" s="691"/>
      <c r="D41" s="691"/>
      <c r="E41" s="692"/>
      <c r="F41" s="178" t="s">
        <v>84</v>
      </c>
      <c r="G41" s="24"/>
      <c r="H41" s="693" t="s">
        <v>265</v>
      </c>
      <c r="I41" s="694"/>
      <c r="J41" s="694"/>
      <c r="K41" s="694"/>
      <c r="L41" s="695"/>
      <c r="M41" s="177" t="s">
        <v>22</v>
      </c>
      <c r="N41" s="177" t="s">
        <v>21</v>
      </c>
      <c r="O41" s="696" t="s">
        <v>84</v>
      </c>
      <c r="P41" s="35"/>
      <c r="Q41" s="24"/>
    </row>
    <row r="42" spans="1:17" ht="13.5" thickBot="1" x14ac:dyDescent="0.25">
      <c r="A42" s="23"/>
      <c r="B42" s="698" t="s">
        <v>86</v>
      </c>
      <c r="C42" s="699"/>
      <c r="D42" s="699"/>
      <c r="E42" s="286">
        <f>IFERROR(C13+C14,"-")</f>
        <v>719.83999999999992</v>
      </c>
      <c r="F42" s="309" t="s">
        <v>159</v>
      </c>
      <c r="G42" s="24"/>
      <c r="H42" s="262" t="s">
        <v>259</v>
      </c>
      <c r="I42" s="263"/>
      <c r="J42" s="263"/>
      <c r="K42" s="263"/>
      <c r="L42" s="264" t="s">
        <v>260</v>
      </c>
      <c r="M42" s="216" t="s">
        <v>123</v>
      </c>
      <c r="N42" s="216" t="s">
        <v>123</v>
      </c>
      <c r="O42" s="697"/>
      <c r="P42" s="35"/>
      <c r="Q42" s="24"/>
    </row>
    <row r="43" spans="1:17" x14ac:dyDescent="0.2">
      <c r="A43" s="23"/>
      <c r="B43" s="698" t="s">
        <v>23</v>
      </c>
      <c r="C43" s="699"/>
      <c r="D43" s="699"/>
      <c r="E43" s="50">
        <f>IFERROR((C16*C14/(E42))+C15,"-")</f>
        <v>23.187075255568608</v>
      </c>
      <c r="F43" s="309" t="s">
        <v>102</v>
      </c>
      <c r="G43" s="24"/>
      <c r="H43" s="258" t="s">
        <v>238</v>
      </c>
      <c r="I43" s="21"/>
      <c r="J43" s="21"/>
      <c r="K43" s="21"/>
      <c r="L43" s="65">
        <v>0</v>
      </c>
      <c r="M43" s="200">
        <f>IFERROR('W&amp;B Report Metric'!M43*2.205,"-")</f>
        <v>138.91499999999999</v>
      </c>
      <c r="N43" s="200">
        <f>IFERROR(ROUNDDOWN('W&amp;B Report Metric'!N43*2.205,0),"-")</f>
        <v>251</v>
      </c>
      <c r="O43" s="223" t="s">
        <v>159</v>
      </c>
      <c r="P43" s="35"/>
      <c r="Q43" s="24"/>
    </row>
    <row r="44" spans="1:17" x14ac:dyDescent="0.2">
      <c r="A44" s="23"/>
      <c r="B44" s="698" t="s">
        <v>24</v>
      </c>
      <c r="C44" s="699"/>
      <c r="D44" s="699"/>
      <c r="E44" s="50">
        <f>IFERROR(E42*E43/1000,"-")</f>
        <v>16.690984251968505</v>
      </c>
      <c r="F44" s="309" t="s">
        <v>106</v>
      </c>
      <c r="G44" s="23"/>
      <c r="H44" s="259" t="s">
        <v>238</v>
      </c>
      <c r="I44" s="24"/>
      <c r="J44" s="24"/>
      <c r="K44" s="24"/>
      <c r="L44" s="43">
        <v>1</v>
      </c>
      <c r="M44" s="222">
        <f>IFERROR('W&amp;B Report Metric'!M44*2.205,"-")</f>
        <v>165.375</v>
      </c>
      <c r="N44" s="222">
        <f>IFERROR(ROUNDDOWN('W&amp;B Report Metric'!N44*2.205,0),"-")</f>
        <v>253</v>
      </c>
      <c r="O44" s="199" t="s">
        <v>159</v>
      </c>
      <c r="P44" s="35"/>
      <c r="Q44" s="24"/>
    </row>
    <row r="45" spans="1:17" x14ac:dyDescent="0.2">
      <c r="A45" s="23"/>
      <c r="B45" s="278" t="s">
        <v>169</v>
      </c>
      <c r="C45" s="279"/>
      <c r="D45" s="279"/>
      <c r="E45" s="277">
        <f>IFERROR('W&amp;B Report Metric'!E45*2.205,0)</f>
        <v>1157.625</v>
      </c>
      <c r="F45" s="310" t="s">
        <v>159</v>
      </c>
      <c r="G45" s="24"/>
      <c r="H45" s="259" t="s">
        <v>238</v>
      </c>
      <c r="I45" s="24"/>
      <c r="J45" s="24"/>
      <c r="K45" s="24"/>
      <c r="L45" s="43">
        <v>2</v>
      </c>
      <c r="M45" s="222">
        <f>IFERROR('W&amp;B Report Metric'!M45*2.205,"-")</f>
        <v>191.83500000000001</v>
      </c>
      <c r="N45" s="222">
        <f>IFERROR(ROUNDDOWN('W&amp;B Report Metric'!N45*2.205,0),"-")</f>
        <v>253</v>
      </c>
      <c r="O45" s="199" t="s">
        <v>159</v>
      </c>
      <c r="P45" s="35"/>
      <c r="Q45" s="24"/>
    </row>
    <row r="46" spans="1:17" x14ac:dyDescent="0.2">
      <c r="A46" s="23"/>
      <c r="B46" s="280" t="s">
        <v>19</v>
      </c>
      <c r="C46" s="271"/>
      <c r="D46" s="271"/>
      <c r="E46" s="50">
        <f>IFERROR('W&amp;B Report Metric'!E46*2.205,0)</f>
        <v>436.14900000000006</v>
      </c>
      <c r="F46" s="309" t="s">
        <v>159</v>
      </c>
      <c r="G46" s="24"/>
      <c r="H46" s="265" t="s">
        <v>261</v>
      </c>
      <c r="I46" s="266"/>
      <c r="J46" s="266"/>
      <c r="K46" s="266"/>
      <c r="L46" s="267">
        <v>0</v>
      </c>
      <c r="M46" s="268">
        <f>IFERROR('W&amp;B Report Metric'!M46*2.205,"-")</f>
        <v>218.29500000000002</v>
      </c>
      <c r="N46" s="268">
        <f>IFERROR(ROUNDDOWN('W&amp;B Report Metric'!N46*2.205,0),"-")</f>
        <v>253</v>
      </c>
      <c r="O46" s="269" t="s">
        <v>159</v>
      </c>
      <c r="P46" s="35"/>
      <c r="Q46" s="24"/>
    </row>
    <row r="47" spans="1:17" x14ac:dyDescent="0.2">
      <c r="A47" s="23"/>
      <c r="B47" s="281" t="s">
        <v>262</v>
      </c>
      <c r="C47" s="271"/>
      <c r="D47" s="271"/>
      <c r="E47" s="50">
        <f>'W&amp;B Report Metric'!E47*2.205</f>
        <v>749.7</v>
      </c>
      <c r="F47" s="309" t="s">
        <v>159</v>
      </c>
      <c r="G47" s="24"/>
      <c r="H47" s="259" t="s">
        <v>261</v>
      </c>
      <c r="I47" s="24"/>
      <c r="J47" s="24"/>
      <c r="K47" s="24"/>
      <c r="L47" s="55">
        <v>1</v>
      </c>
      <c r="M47" s="222">
        <f>IFERROR('W&amp;B Report Metric'!M47*2.205,"-")</f>
        <v>244.755</v>
      </c>
      <c r="N47" s="222">
        <f>IFERROR(ROUNDDOWN('W&amp;B Report Metric'!N47*2.205,0),"-")</f>
        <v>253</v>
      </c>
      <c r="O47" s="199" t="s">
        <v>159</v>
      </c>
      <c r="P47" s="35"/>
      <c r="Q47" s="24"/>
    </row>
    <row r="48" spans="1:17" ht="13.5" thickBot="1" x14ac:dyDescent="0.25">
      <c r="A48" s="23"/>
      <c r="B48" s="282" t="s">
        <v>87</v>
      </c>
      <c r="C48" s="283"/>
      <c r="D48" s="283"/>
      <c r="E48" s="51">
        <f>IFERROR('W&amp;B Report Metric'!E48*2.205,"-")</f>
        <v>392.86484999999999</v>
      </c>
      <c r="F48" s="311" t="s">
        <v>159</v>
      </c>
      <c r="G48" s="24"/>
      <c r="H48" s="260" t="s">
        <v>261</v>
      </c>
      <c r="I48" s="32"/>
      <c r="J48" s="32"/>
      <c r="K48" s="32"/>
      <c r="L48" s="261">
        <v>2</v>
      </c>
      <c r="M48" s="179">
        <f>IFERROR('W&amp;B Report Metric'!M48*2.205,"-")</f>
        <v>271.21500000000003</v>
      </c>
      <c r="N48" s="179">
        <f>IFERROR(ROUNDDOWN('W&amp;B Report Metric'!N48*2.205,0),"-")</f>
        <v>253</v>
      </c>
      <c r="O48" s="180" t="s">
        <v>159</v>
      </c>
      <c r="P48" s="35"/>
      <c r="Q48" s="24"/>
    </row>
    <row r="49" spans="1:17" x14ac:dyDescent="0.2">
      <c r="A49" s="23"/>
      <c r="B49" s="270"/>
      <c r="C49" s="251"/>
      <c r="D49" s="251"/>
      <c r="E49" s="50"/>
      <c r="F49" s="221"/>
      <c r="G49" s="24"/>
      <c r="H49" s="271"/>
      <c r="I49" s="24"/>
      <c r="J49" s="24"/>
      <c r="K49" s="24"/>
      <c r="L49" s="55"/>
      <c r="M49" s="50"/>
      <c r="N49" s="44"/>
      <c r="O49" s="55"/>
      <c r="P49" s="35"/>
      <c r="Q49" s="24"/>
    </row>
    <row r="50" spans="1:17" ht="15.75" x14ac:dyDescent="0.25">
      <c r="A50" s="23"/>
      <c r="B50" s="37" t="s">
        <v>272</v>
      </c>
      <c r="C50" s="251"/>
      <c r="D50" s="251"/>
      <c r="E50" s="50"/>
      <c r="F50" s="221"/>
      <c r="G50" s="24"/>
      <c r="H50" s="271"/>
      <c r="I50" s="24"/>
      <c r="J50" s="24"/>
      <c r="K50" s="24"/>
      <c r="L50" s="55"/>
      <c r="M50" s="50"/>
      <c r="N50" s="44"/>
      <c r="O50" s="55"/>
      <c r="P50" s="35"/>
      <c r="Q50" s="24"/>
    </row>
    <row r="51" spans="1:17" ht="13.5" thickBot="1" x14ac:dyDescent="0.25">
      <c r="A51" s="23"/>
      <c r="B51" s="24"/>
      <c r="C51" s="24"/>
      <c r="D51" s="24"/>
      <c r="E51" s="253"/>
      <c r="F51" s="26"/>
      <c r="G51" s="24"/>
      <c r="H51" s="24"/>
      <c r="I51" s="24"/>
      <c r="J51" s="24"/>
      <c r="K51" s="24"/>
      <c r="L51" s="24"/>
      <c r="M51" s="24"/>
      <c r="N51" s="24"/>
      <c r="O51" s="24"/>
      <c r="P51" s="35"/>
      <c r="Q51" s="24"/>
    </row>
    <row r="52" spans="1:17" ht="15.75" thickBot="1" x14ac:dyDescent="0.3">
      <c r="A52" s="23"/>
      <c r="B52" s="690" t="s">
        <v>161</v>
      </c>
      <c r="C52" s="691"/>
      <c r="D52" s="691"/>
      <c r="E52" s="692"/>
      <c r="F52" s="178" t="s">
        <v>84</v>
      </c>
      <c r="G52" s="24"/>
      <c r="H52" s="693" t="s">
        <v>266</v>
      </c>
      <c r="I52" s="694"/>
      <c r="J52" s="694"/>
      <c r="K52" s="694"/>
      <c r="L52" s="695"/>
      <c r="M52" s="178" t="s">
        <v>22</v>
      </c>
      <c r="N52" s="177" t="s">
        <v>21</v>
      </c>
      <c r="O52" s="696" t="s">
        <v>84</v>
      </c>
      <c r="P52" s="35"/>
      <c r="Q52" s="24"/>
    </row>
    <row r="53" spans="1:17" ht="13.5" thickBot="1" x14ac:dyDescent="0.25">
      <c r="A53" s="23"/>
      <c r="B53" s="700" t="s">
        <v>85</v>
      </c>
      <c r="C53" s="701"/>
      <c r="D53" s="101"/>
      <c r="E53" s="257">
        <f>SUM(D13:D14)</f>
        <v>769.34654999999998</v>
      </c>
      <c r="F53" s="308" t="s">
        <v>159</v>
      </c>
      <c r="G53" s="24"/>
      <c r="H53" s="262" t="s">
        <v>259</v>
      </c>
      <c r="I53" s="263"/>
      <c r="J53" s="263"/>
      <c r="K53" s="263"/>
      <c r="L53" s="264" t="s">
        <v>260</v>
      </c>
      <c r="M53" s="325" t="s">
        <v>69</v>
      </c>
      <c r="N53" s="217" t="s">
        <v>69</v>
      </c>
      <c r="O53" s="697"/>
      <c r="P53" s="35"/>
    </row>
    <row r="54" spans="1:17" x14ac:dyDescent="0.2">
      <c r="A54" s="23"/>
      <c r="B54" s="688" t="s">
        <v>23</v>
      </c>
      <c r="C54" s="689"/>
      <c r="D54" s="702"/>
      <c r="E54" s="50">
        <f>IFERROR(C16*D14/E53+C15,"-")</f>
        <v>22.895725653593409</v>
      </c>
      <c r="F54" s="309" t="s">
        <v>102</v>
      </c>
      <c r="G54" s="24"/>
      <c r="H54" s="258" t="s">
        <v>238</v>
      </c>
      <c r="I54" s="21"/>
      <c r="J54" s="21"/>
      <c r="K54" s="21"/>
      <c r="L54" s="65">
        <v>0</v>
      </c>
      <c r="M54" s="222">
        <f>IFERROR('W&amp;B Report Metric'!M54*2.205,"-")</f>
        <v>136.71</v>
      </c>
      <c r="N54" s="200">
        <f>IFERROR(ROUNDDOWN('W&amp;B Report Metric'!N54*2.205,0),"-")</f>
        <v>253</v>
      </c>
      <c r="O54" s="223" t="s">
        <v>159</v>
      </c>
      <c r="P54" s="35"/>
    </row>
    <row r="55" spans="1:17" x14ac:dyDescent="0.2">
      <c r="A55" s="23"/>
      <c r="B55" s="688" t="s">
        <v>24</v>
      </c>
      <c r="C55" s="689"/>
      <c r="D55" s="176"/>
      <c r="E55" s="50">
        <f>IFERROR(E53*E54/1000,"-")</f>
        <v>17.614747541338584</v>
      </c>
      <c r="F55" s="309" t="s">
        <v>106</v>
      </c>
      <c r="G55" s="24"/>
      <c r="H55" s="259" t="s">
        <v>238</v>
      </c>
      <c r="I55" s="24"/>
      <c r="J55" s="24"/>
      <c r="K55" s="24"/>
      <c r="L55" s="43">
        <v>1</v>
      </c>
      <c r="M55" s="222">
        <f>IFERROR('W&amp;B Report Metric'!M55*2.205,"-")</f>
        <v>163.17000000000002</v>
      </c>
      <c r="N55" s="222">
        <f>IFERROR(ROUNDDOWN('W&amp;B Report Metric'!N55*2.205,0),"-")</f>
        <v>253</v>
      </c>
      <c r="O55" s="199" t="s">
        <v>159</v>
      </c>
      <c r="P55" s="35"/>
    </row>
    <row r="56" spans="1:17" x14ac:dyDescent="0.2">
      <c r="A56" s="23"/>
      <c r="B56" s="275" t="s">
        <v>169</v>
      </c>
      <c r="C56" s="276"/>
      <c r="D56" s="276"/>
      <c r="E56" s="277">
        <f>'W&amp;B Report Metric'!E56*2.205</f>
        <v>1323</v>
      </c>
      <c r="F56" s="310" t="s">
        <v>159</v>
      </c>
      <c r="G56" s="24"/>
      <c r="H56" s="259" t="s">
        <v>238</v>
      </c>
      <c r="I56" s="24"/>
      <c r="J56" s="24"/>
      <c r="K56" s="24"/>
      <c r="L56" s="43">
        <v>2</v>
      </c>
      <c r="M56" s="222">
        <f>IFERROR('W&amp;B Report Metric'!M56*2.205,"-")</f>
        <v>189.63</v>
      </c>
      <c r="N56" s="222">
        <f>IFERROR(ROUNDDOWN('W&amp;B Report Metric'!N56*2.205,0),"-")</f>
        <v>253</v>
      </c>
      <c r="O56" s="199" t="s">
        <v>159</v>
      </c>
      <c r="P56" s="35"/>
    </row>
    <row r="57" spans="1:17" x14ac:dyDescent="0.2">
      <c r="A57" s="23"/>
      <c r="B57" s="254" t="s">
        <v>19</v>
      </c>
      <c r="C57" s="251"/>
      <c r="D57" s="251"/>
      <c r="E57" s="50">
        <f>'W&amp;B Report Metric'!E57*2.205</f>
        <v>553.65345000000013</v>
      </c>
      <c r="F57" s="309" t="s">
        <v>159</v>
      </c>
      <c r="G57" s="24"/>
      <c r="H57" s="265" t="s">
        <v>261</v>
      </c>
      <c r="I57" s="266"/>
      <c r="J57" s="266"/>
      <c r="K57" s="266"/>
      <c r="L57" s="307">
        <v>0</v>
      </c>
      <c r="M57" s="268">
        <f>IFERROR('W&amp;B Report Metric'!M57*2.205,"-")</f>
        <v>216.09</v>
      </c>
      <c r="N57" s="268">
        <f>IFERROR(ROUNDDOWN('W&amp;B Report Metric'!N57*2.205,0),"-")</f>
        <v>253</v>
      </c>
      <c r="O57" s="269" t="s">
        <v>159</v>
      </c>
      <c r="P57" s="35"/>
    </row>
    <row r="58" spans="1:17" x14ac:dyDescent="0.2">
      <c r="A58" s="23"/>
      <c r="B58" s="255" t="s">
        <v>262</v>
      </c>
      <c r="C58" s="251"/>
      <c r="D58" s="251"/>
      <c r="E58" s="50">
        <f>'W&amp;B Report Metric'!E58*2.205</f>
        <v>749.7</v>
      </c>
      <c r="F58" s="309" t="s">
        <v>159</v>
      </c>
      <c r="G58" s="24"/>
      <c r="H58" s="259" t="s">
        <v>261</v>
      </c>
      <c r="I58" s="24"/>
      <c r="J58" s="24"/>
      <c r="K58" s="24"/>
      <c r="L58" s="55">
        <v>1</v>
      </c>
      <c r="M58" s="222">
        <f>IFERROR('W&amp;B Report Metric'!M58*2.205,"-")</f>
        <v>242.55</v>
      </c>
      <c r="N58" s="222">
        <f>IFERROR(ROUNDDOWN('W&amp;B Report Metric'!N58*2.205,0),"-")</f>
        <v>253</v>
      </c>
      <c r="O58" s="199" t="s">
        <v>159</v>
      </c>
      <c r="P58" s="35"/>
    </row>
    <row r="59" spans="1:17" ht="13.5" thickBot="1" x14ac:dyDescent="0.25">
      <c r="A59" s="23"/>
      <c r="B59" s="256" t="s">
        <v>87</v>
      </c>
      <c r="C59" s="250"/>
      <c r="D59" s="250"/>
      <c r="E59" s="51">
        <f>IFERROR('W&amp;B Report Metric'!E59*2.205,"-")</f>
        <v>392.86484999999999</v>
      </c>
      <c r="F59" s="311" t="s">
        <v>159</v>
      </c>
      <c r="G59" s="24"/>
      <c r="H59" s="260" t="s">
        <v>261</v>
      </c>
      <c r="I59" s="32"/>
      <c r="J59" s="32"/>
      <c r="K59" s="32"/>
      <c r="L59" s="261">
        <v>2</v>
      </c>
      <c r="M59" s="179">
        <f>IFERROR('W&amp;B Report Metric'!M59*2.205,"-")</f>
        <v>269.01</v>
      </c>
      <c r="N59" s="179">
        <f>IFERROR(ROUNDDOWN('W&amp;B Report Metric'!N59*2.205,0),"-")</f>
        <v>253</v>
      </c>
      <c r="O59" s="180" t="s">
        <v>159</v>
      </c>
      <c r="P59" s="35"/>
    </row>
    <row r="60" spans="1:17" x14ac:dyDescent="0.2">
      <c r="A60" s="23"/>
      <c r="B60" s="251"/>
      <c r="C60" s="251"/>
      <c r="D60" s="176"/>
      <c r="E60" s="50"/>
      <c r="F60" s="221"/>
      <c r="G60" s="24"/>
      <c r="H60" s="176"/>
      <c r="I60" s="24"/>
      <c r="J60" s="24"/>
      <c r="K60" s="24"/>
      <c r="L60" s="24"/>
      <c r="M60" s="44"/>
      <c r="N60" s="44"/>
      <c r="O60" s="55"/>
      <c r="P60" s="35"/>
    </row>
    <row r="61" spans="1:17" s="181" customFormat="1" ht="30" customHeight="1" thickBot="1" x14ac:dyDescent="0.25">
      <c r="A61" s="198"/>
      <c r="B61" s="187" t="s">
        <v>165</v>
      </c>
      <c r="C61" s="188"/>
      <c r="D61" s="323"/>
      <c r="E61" s="324"/>
      <c r="F61" s="187" t="s">
        <v>101</v>
      </c>
      <c r="G61" s="191"/>
      <c r="H61" s="188"/>
      <c r="I61" s="192"/>
      <c r="J61" s="193"/>
      <c r="K61" s="189"/>
      <c r="L61" s="190" t="s">
        <v>13</v>
      </c>
      <c r="M61" s="194"/>
      <c r="N61" s="195"/>
      <c r="O61" s="196"/>
      <c r="P61" s="197"/>
      <c r="Q61" s="52"/>
    </row>
    <row r="62" spans="1:17" ht="2.25" customHeight="1" x14ac:dyDescent="0.2"/>
    <row r="65" customFormat="1" hidden="1" x14ac:dyDescent="0.2"/>
    <row r="66" customFormat="1" hidden="1" x14ac:dyDescent="0.2"/>
    <row r="67" customFormat="1" hidden="1" x14ac:dyDescent="0.2"/>
    <row r="68" customFormat="1" hidden="1" x14ac:dyDescent="0.2"/>
  </sheetData>
  <sheetProtection algorithmName="SHA-512" hashValue="gQV8DWPZ3Yvetx5ZfUuDafGMWQWEeodTQPHbwSwnAITlHYQo6izDyCMse+jXw/1YTStVvzmQ/u+Yu5PMnrKEmg==" saltValue="qQfXJVkpN9ACI/p/yw7DzA==" spinCount="100000" sheet="1" objects="1" scenarios="1" selectLockedCells="1"/>
  <mergeCells count="45">
    <mergeCell ref="N6:P6"/>
    <mergeCell ref="L6:M6"/>
    <mergeCell ref="A6:D6"/>
    <mergeCell ref="F6:J6"/>
    <mergeCell ref="E1:L4"/>
    <mergeCell ref="M2:P2"/>
    <mergeCell ref="B29:D29"/>
    <mergeCell ref="I29:K29"/>
    <mergeCell ref="C15:D15"/>
    <mergeCell ref="C16:D16"/>
    <mergeCell ref="C17:D17"/>
    <mergeCell ref="C18:D18"/>
    <mergeCell ref="C19:D19"/>
    <mergeCell ref="B26:D26"/>
    <mergeCell ref="I26:K26"/>
    <mergeCell ref="B27:D27"/>
    <mergeCell ref="I27:K27"/>
    <mergeCell ref="B28:D28"/>
    <mergeCell ref="I28:K28"/>
    <mergeCell ref="B36:D36"/>
    <mergeCell ref="H36:N37"/>
    <mergeCell ref="B37:D37"/>
    <mergeCell ref="B30:D30"/>
    <mergeCell ref="I30:K30"/>
    <mergeCell ref="B31:D31"/>
    <mergeCell ref="I31:K31"/>
    <mergeCell ref="B32:D32"/>
    <mergeCell ref="I32:K32"/>
    <mergeCell ref="B33:D33"/>
    <mergeCell ref="I33:K33"/>
    <mergeCell ref="B34:D34"/>
    <mergeCell ref="B35:D35"/>
    <mergeCell ref="H35:O35"/>
    <mergeCell ref="B55:C55"/>
    <mergeCell ref="B41:E41"/>
    <mergeCell ref="H41:L41"/>
    <mergeCell ref="O41:O42"/>
    <mergeCell ref="B42:D42"/>
    <mergeCell ref="B43:D43"/>
    <mergeCell ref="B44:D44"/>
    <mergeCell ref="B52:E52"/>
    <mergeCell ref="H52:L52"/>
    <mergeCell ref="O52:O53"/>
    <mergeCell ref="B53:C53"/>
    <mergeCell ref="B54:D54"/>
  </mergeCells>
  <pageMargins left="0.25" right="0.25" top="0.75" bottom="0.75" header="0.3" footer="0.3"/>
  <pageSetup paperSize="9" scale="89" orientation="portrait" r:id="rId1"/>
  <drawing r:id="rId2"/>
  <legacyDrawing r:id="rId3"/>
  <oleObjects>
    <mc:AlternateContent xmlns:mc="http://schemas.openxmlformats.org/markup-compatibility/2006">
      <mc:Choice Requires="x14">
        <oleObject progId="Equation.3" shapeId="2404355" r:id="rId4">
          <objectPr defaultSize="0" autoPict="0" r:id="rId5">
            <anchor moveWithCells="1">
              <from>
                <xdr:col>2</xdr:col>
                <xdr:colOff>38100</xdr:colOff>
                <xdr:row>20</xdr:row>
                <xdr:rowOff>38100</xdr:rowOff>
              </from>
              <to>
                <xdr:col>3</xdr:col>
                <xdr:colOff>447675</xdr:colOff>
                <xdr:row>22</xdr:row>
                <xdr:rowOff>76200</xdr:rowOff>
              </to>
            </anchor>
          </objectPr>
        </oleObject>
      </mc:Choice>
      <mc:Fallback>
        <oleObject progId="Equation.3" shapeId="2404355" r:id="rId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dimension ref="A1"/>
  <sheetViews>
    <sheetView workbookViewId="0"/>
  </sheetViews>
  <sheetFormatPr baseColWidth="10" defaultColWidth="9.140625"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V84"/>
  <sheetViews>
    <sheetView topLeftCell="A32" zoomScaleNormal="100" zoomScaleSheetLayoutView="115" workbookViewId="0">
      <selection activeCell="C15" sqref="C15:D15"/>
    </sheetView>
  </sheetViews>
  <sheetFormatPr baseColWidth="10" defaultColWidth="0" defaultRowHeight="12.75" zeroHeight="1" x14ac:dyDescent="0.2"/>
  <cols>
    <col min="1" max="1" width="1.28515625" customWidth="1"/>
    <col min="2" max="2" width="5.7109375" customWidth="1"/>
    <col min="3" max="3" width="12" customWidth="1"/>
    <col min="4" max="4" width="11.7109375" customWidth="1"/>
    <col min="5" max="5" width="10.5703125" customWidth="1"/>
    <col min="6" max="6" width="6" customWidth="1"/>
    <col min="7" max="7" width="4.5703125" customWidth="1"/>
    <col min="8" max="8" width="6.28515625" customWidth="1"/>
    <col min="9" max="9" width="3.7109375" customWidth="1"/>
    <col min="10" max="10" width="5.5703125" customWidth="1"/>
    <col min="11" max="11" width="10.7109375" customWidth="1"/>
    <col min="12" max="12" width="8.7109375" customWidth="1"/>
    <col min="13" max="13" width="8.28515625" customWidth="1"/>
    <col min="14" max="14" width="9.85546875" customWidth="1"/>
    <col min="15" max="15" width="5.7109375" customWidth="1"/>
    <col min="16" max="16" width="1.28515625" customWidth="1"/>
    <col min="17" max="17" width="0.28515625" customWidth="1"/>
    <col min="18" max="20" width="9.28515625" hidden="1" customWidth="1"/>
    <col min="21" max="21" width="20.28515625" hidden="1" customWidth="1"/>
    <col min="22" max="256" width="25" hidden="1" customWidth="1"/>
    <col min="257" max="16384" width="9.28515625" hidden="1"/>
  </cols>
  <sheetData>
    <row r="1" spans="1:16" ht="20.45" customHeight="1" x14ac:dyDescent="0.2">
      <c r="A1" s="20"/>
      <c r="B1" s="21"/>
      <c r="C1" s="21"/>
      <c r="D1" s="22"/>
      <c r="E1" s="729" t="s">
        <v>291</v>
      </c>
      <c r="F1" s="730"/>
      <c r="G1" s="730"/>
      <c r="H1" s="730"/>
      <c r="I1" s="730"/>
      <c r="J1" s="730"/>
      <c r="K1" s="730"/>
      <c r="L1" s="731"/>
      <c r="M1" s="20"/>
      <c r="N1" s="21"/>
      <c r="O1" s="21"/>
      <c r="P1" s="22"/>
    </row>
    <row r="2" spans="1:16" ht="12.95" customHeight="1" x14ac:dyDescent="0.2">
      <c r="A2" s="23"/>
      <c r="B2" s="24"/>
      <c r="C2" s="24"/>
      <c r="D2" s="25"/>
      <c r="E2" s="732"/>
      <c r="F2" s="733"/>
      <c r="G2" s="733"/>
      <c r="H2" s="733"/>
      <c r="I2" s="733"/>
      <c r="J2" s="733"/>
      <c r="K2" s="733"/>
      <c r="L2" s="734"/>
      <c r="M2" s="674" t="s">
        <v>189</v>
      </c>
      <c r="N2" s="675"/>
      <c r="O2" s="675"/>
      <c r="P2" s="676"/>
    </row>
    <row r="3" spans="1:16" ht="12.95" customHeight="1" x14ac:dyDescent="0.2">
      <c r="A3" s="23"/>
      <c r="B3" s="24"/>
      <c r="C3" s="24"/>
      <c r="D3" s="25"/>
      <c r="E3" s="732"/>
      <c r="F3" s="733"/>
      <c r="G3" s="733"/>
      <c r="H3" s="733"/>
      <c r="I3" s="733"/>
      <c r="J3" s="733"/>
      <c r="K3" s="733"/>
      <c r="L3" s="734"/>
      <c r="M3" s="218" t="s">
        <v>190</v>
      </c>
      <c r="N3" s="46">
        <f>MAX('Revision History'!A17:A100)</f>
        <v>23</v>
      </c>
      <c r="O3" s="46"/>
      <c r="P3" s="219"/>
    </row>
    <row r="4" spans="1:16" ht="12.95" customHeight="1" thickBot="1" x14ac:dyDescent="0.25">
      <c r="A4" s="31"/>
      <c r="B4" s="32"/>
      <c r="C4" s="98"/>
      <c r="D4" s="99"/>
      <c r="E4" s="735"/>
      <c r="F4" s="736"/>
      <c r="G4" s="736"/>
      <c r="H4" s="736"/>
      <c r="I4" s="736"/>
      <c r="J4" s="736"/>
      <c r="K4" s="736"/>
      <c r="L4" s="737"/>
      <c r="M4" s="209"/>
      <c r="N4" s="207"/>
      <c r="O4" s="207"/>
      <c r="P4" s="208"/>
    </row>
    <row r="5" spans="1:16" ht="12.4" customHeight="1" x14ac:dyDescent="0.2">
      <c r="A5" s="23"/>
      <c r="B5" s="24"/>
      <c r="C5" s="24"/>
      <c r="D5" s="24"/>
      <c r="E5" s="24"/>
      <c r="F5" s="24"/>
      <c r="G5" s="53"/>
      <c r="H5" s="53"/>
      <c r="I5" s="53"/>
      <c r="J5" s="53"/>
      <c r="K5" s="53"/>
      <c r="L5" s="53"/>
      <c r="M5" s="53"/>
      <c r="N5" s="53"/>
      <c r="O5" s="53"/>
      <c r="P5" s="54"/>
    </row>
    <row r="6" spans="1:16" ht="24" customHeight="1" x14ac:dyDescent="0.2">
      <c r="A6" s="685" t="str">
        <f>'Entry Form'!B6</f>
        <v>Aircraft Registration Number</v>
      </c>
      <c r="B6" s="683"/>
      <c r="C6" s="683"/>
      <c r="D6" s="684"/>
      <c r="E6" s="141" t="str">
        <f>'Entry Form'!E6</f>
        <v>D-KPWZ</v>
      </c>
      <c r="F6" s="686" t="str">
        <f>'Entry Form'!G6</f>
        <v>Aircraft Serial Number</v>
      </c>
      <c r="G6" s="683"/>
      <c r="H6" s="683"/>
      <c r="I6" s="683"/>
      <c r="J6" s="684"/>
      <c r="K6" s="434" t="str">
        <f>'Entry Form'!K6</f>
        <v>3.MD132</v>
      </c>
      <c r="L6" s="682" t="str">
        <f>'Entry Form'!N6</f>
        <v>Span Variants</v>
      </c>
      <c r="M6" s="684"/>
      <c r="N6" s="727" t="str">
        <f>'Entry Form'!O6</f>
        <v>15m&amp;18m</v>
      </c>
      <c r="O6" s="683"/>
      <c r="P6" s="728"/>
    </row>
    <row r="7" spans="1:16" ht="12.6" customHeight="1" thickBot="1" x14ac:dyDescent="0.25">
      <c r="A7" s="31"/>
      <c r="B7" s="41"/>
      <c r="C7" s="41"/>
      <c r="D7" s="41"/>
      <c r="E7" s="41"/>
      <c r="F7" s="41"/>
      <c r="G7" s="41"/>
      <c r="H7" s="41"/>
      <c r="I7" s="41"/>
      <c r="J7" s="41"/>
      <c r="K7" s="41"/>
      <c r="L7" s="41"/>
      <c r="M7" s="41"/>
      <c r="N7" s="41"/>
      <c r="O7" s="41"/>
      <c r="P7" s="27"/>
    </row>
    <row r="8" spans="1:16" ht="15" customHeight="1" x14ac:dyDescent="0.25">
      <c r="A8" s="23"/>
      <c r="B8" s="37" t="s">
        <v>4</v>
      </c>
      <c r="C8" s="24"/>
      <c r="D8" s="52"/>
      <c r="E8" s="52" t="s">
        <v>5</v>
      </c>
      <c r="F8" s="52"/>
      <c r="G8" s="52"/>
      <c r="H8" s="52"/>
      <c r="I8" s="52"/>
      <c r="J8" s="45"/>
      <c r="K8" s="45"/>
      <c r="L8" s="45"/>
      <c r="M8" s="24"/>
      <c r="N8" s="24"/>
      <c r="O8" s="24"/>
      <c r="P8" s="25"/>
    </row>
    <row r="9" spans="1:16" ht="12.4" customHeight="1" x14ac:dyDescent="0.2">
      <c r="A9" s="23"/>
      <c r="B9" s="24"/>
      <c r="C9" s="24"/>
      <c r="D9" s="52"/>
      <c r="E9" s="52" t="s">
        <v>140</v>
      </c>
      <c r="F9" s="52"/>
      <c r="G9" s="52"/>
      <c r="H9" s="52"/>
      <c r="I9" s="52"/>
      <c r="J9" s="45"/>
      <c r="K9" s="45"/>
      <c r="L9" s="45"/>
      <c r="M9" s="24"/>
      <c r="N9" s="24"/>
      <c r="O9" s="24"/>
      <c r="P9" s="25"/>
    </row>
    <row r="10" spans="1:16" ht="12.6" customHeight="1" thickBot="1" x14ac:dyDescent="0.25">
      <c r="A10" s="31"/>
      <c r="B10" s="32"/>
      <c r="C10" s="32"/>
      <c r="D10" s="33"/>
      <c r="E10" s="33"/>
      <c r="F10" s="33"/>
      <c r="G10" s="33"/>
      <c r="H10" s="33"/>
      <c r="I10" s="33"/>
      <c r="J10" s="41"/>
      <c r="K10" s="41"/>
      <c r="L10" s="41"/>
      <c r="M10" s="32"/>
      <c r="N10" s="32"/>
      <c r="O10" s="32"/>
      <c r="P10" s="34"/>
    </row>
    <row r="11" spans="1:16" ht="16.5" thickBot="1" x14ac:dyDescent="0.3">
      <c r="A11" s="23"/>
      <c r="B11" s="252" t="s">
        <v>14</v>
      </c>
      <c r="C11" s="252"/>
      <c r="D11" s="252"/>
      <c r="E11" s="252"/>
      <c r="F11" s="252"/>
      <c r="G11" s="252"/>
      <c r="H11" s="252"/>
      <c r="I11" s="252"/>
      <c r="J11" s="37"/>
      <c r="K11" s="37"/>
      <c r="L11" s="37"/>
      <c r="M11" s="37"/>
      <c r="N11" s="37"/>
      <c r="O11" s="37"/>
      <c r="P11" s="97"/>
    </row>
    <row r="12" spans="1:16" ht="13.5" thickBot="1" x14ac:dyDescent="0.25">
      <c r="A12" s="23"/>
      <c r="B12" s="185"/>
      <c r="C12" s="182" t="s">
        <v>123</v>
      </c>
      <c r="D12" s="182" t="s">
        <v>69</v>
      </c>
      <c r="E12" s="186" t="s">
        <v>84</v>
      </c>
      <c r="F12" s="24"/>
      <c r="G12" s="24"/>
      <c r="H12" s="24"/>
      <c r="I12" s="24"/>
      <c r="J12" s="24"/>
      <c r="K12" s="24"/>
      <c r="L12" s="24"/>
      <c r="M12" s="24"/>
      <c r="N12" s="24"/>
      <c r="O12" s="24"/>
      <c r="P12" s="25"/>
    </row>
    <row r="13" spans="1:16" ht="12.4" customHeight="1" x14ac:dyDescent="0.2">
      <c r="A13" s="23"/>
      <c r="B13" s="183" t="s">
        <v>15</v>
      </c>
      <c r="C13" s="516">
        <f>'Entry Form'!G43</f>
        <v>292.39999999999998</v>
      </c>
      <c r="D13" s="516">
        <f>'Entry Form'!H43</f>
        <v>312.39999999999998</v>
      </c>
      <c r="E13" s="184" t="s">
        <v>0</v>
      </c>
      <c r="F13" s="24"/>
      <c r="G13" s="24"/>
      <c r="H13" s="24"/>
      <c r="I13" s="24"/>
      <c r="J13" s="24"/>
      <c r="K13" s="24"/>
      <c r="L13" s="24"/>
      <c r="M13" s="24"/>
      <c r="N13" s="24"/>
      <c r="O13" s="24"/>
      <c r="P13" s="25"/>
    </row>
    <row r="14" spans="1:16" ht="12.4" customHeight="1" x14ac:dyDescent="0.2">
      <c r="A14" s="23"/>
      <c r="B14" s="57" t="s">
        <v>16</v>
      </c>
      <c r="C14" s="517">
        <f>'Entry Form'!G45</f>
        <v>34.799999999999997</v>
      </c>
      <c r="D14" s="517">
        <f>'Entry Form'!H45</f>
        <v>36.51</v>
      </c>
      <c r="E14" s="58" t="s">
        <v>0</v>
      </c>
      <c r="F14" s="24"/>
      <c r="G14" s="24"/>
      <c r="H14" s="24"/>
      <c r="I14" s="24"/>
      <c r="J14" s="24"/>
      <c r="K14" s="24"/>
      <c r="L14" s="24"/>
      <c r="M14" s="24"/>
      <c r="N14" s="24"/>
      <c r="O14" s="24"/>
      <c r="P14" s="25"/>
    </row>
    <row r="15" spans="1:16" ht="12.4" customHeight="1" x14ac:dyDescent="0.2">
      <c r="A15" s="23"/>
      <c r="B15" s="57" t="s">
        <v>377</v>
      </c>
      <c r="C15" s="740">
        <v>130.5</v>
      </c>
      <c r="D15" s="741"/>
      <c r="E15" s="58" t="s">
        <v>1</v>
      </c>
      <c r="F15" s="24"/>
      <c r="G15" s="24"/>
      <c r="H15" s="24"/>
      <c r="I15" s="24"/>
      <c r="J15" s="24"/>
      <c r="K15" s="24"/>
      <c r="L15" s="24"/>
      <c r="M15" s="24"/>
      <c r="N15" s="24"/>
      <c r="O15" s="24"/>
      <c r="P15" s="25"/>
    </row>
    <row r="16" spans="1:16" ht="12.4" customHeight="1" x14ac:dyDescent="0.2">
      <c r="A16" s="23"/>
      <c r="B16" s="57" t="s">
        <v>378</v>
      </c>
      <c r="C16" s="738">
        <v>4310.5</v>
      </c>
      <c r="D16" s="739"/>
      <c r="E16" s="58" t="s">
        <v>1</v>
      </c>
      <c r="F16" s="24"/>
      <c r="G16" s="24"/>
      <c r="H16" s="24"/>
      <c r="I16" s="24"/>
      <c r="J16" s="24"/>
      <c r="K16" s="24"/>
      <c r="L16" s="24"/>
      <c r="M16" s="24"/>
      <c r="N16" s="24"/>
      <c r="O16" s="24"/>
      <c r="P16" s="25"/>
    </row>
    <row r="17" spans="1:16" ht="12.4" customHeight="1" x14ac:dyDescent="0.2">
      <c r="A17" s="23"/>
      <c r="B17" s="57" t="s">
        <v>76</v>
      </c>
      <c r="C17" s="720">
        <f>'Entry Form'!K37</f>
        <v>4441</v>
      </c>
      <c r="D17" s="720"/>
      <c r="E17" s="58" t="s">
        <v>1</v>
      </c>
      <c r="F17" s="24"/>
      <c r="G17" s="24"/>
      <c r="H17" s="24"/>
      <c r="I17" s="24"/>
      <c r="J17" s="24"/>
      <c r="K17" s="24"/>
      <c r="L17" s="24"/>
      <c r="M17" s="24"/>
      <c r="N17" s="24"/>
      <c r="O17" s="24"/>
      <c r="P17" s="25"/>
    </row>
    <row r="18" spans="1:16" ht="12.4" customHeight="1" x14ac:dyDescent="0.2">
      <c r="A18" s="23"/>
      <c r="B18" s="57" t="s">
        <v>88</v>
      </c>
      <c r="C18" s="720">
        <f>'Entry Form'!K38</f>
        <v>600</v>
      </c>
      <c r="D18" s="720"/>
      <c r="E18" s="58" t="s">
        <v>1</v>
      </c>
      <c r="F18" s="24"/>
      <c r="G18" s="24"/>
      <c r="H18" s="24"/>
      <c r="I18" s="24"/>
      <c r="J18" s="24"/>
      <c r="K18" s="24"/>
      <c r="L18" s="24"/>
      <c r="M18" s="24"/>
      <c r="N18" s="24"/>
      <c r="O18" s="24"/>
      <c r="P18" s="25"/>
    </row>
    <row r="19" spans="1:16" ht="12.4" customHeight="1" thickBot="1" x14ac:dyDescent="0.25">
      <c r="A19" s="23"/>
      <c r="B19" s="59" t="s">
        <v>75</v>
      </c>
      <c r="C19" s="721">
        <f>'Entry Form'!G39</f>
        <v>4310</v>
      </c>
      <c r="D19" s="721"/>
      <c r="E19" s="60" t="s">
        <v>1</v>
      </c>
      <c r="F19" s="24"/>
      <c r="G19" s="24"/>
      <c r="H19" s="24"/>
      <c r="I19" s="24"/>
      <c r="J19" s="24"/>
      <c r="K19" s="24"/>
      <c r="L19" s="24"/>
      <c r="M19" s="24"/>
      <c r="N19" s="24"/>
      <c r="O19" s="24"/>
      <c r="P19" s="25"/>
    </row>
    <row r="20" spans="1:16" x14ac:dyDescent="0.2">
      <c r="A20" s="23"/>
      <c r="B20" s="79"/>
      <c r="C20" s="24"/>
      <c r="D20" s="24"/>
      <c r="E20" s="24"/>
      <c r="F20" s="24"/>
      <c r="G20" s="24"/>
      <c r="H20" s="24"/>
      <c r="I20" s="24"/>
      <c r="J20" s="24"/>
      <c r="K20" s="24"/>
      <c r="L20" s="24"/>
      <c r="M20" s="24"/>
      <c r="N20" s="24"/>
      <c r="O20" s="24"/>
      <c r="P20" s="25"/>
    </row>
    <row r="21" spans="1:16" x14ac:dyDescent="0.2">
      <c r="A21" s="23"/>
      <c r="B21" s="24"/>
      <c r="C21" s="24"/>
      <c r="D21" s="24"/>
      <c r="E21" s="24"/>
      <c r="F21" s="24"/>
      <c r="G21" s="24"/>
      <c r="H21" s="24"/>
      <c r="I21" s="24"/>
      <c r="J21" s="24"/>
      <c r="K21" s="24"/>
      <c r="L21" s="24"/>
      <c r="M21" s="24"/>
      <c r="N21" s="24"/>
      <c r="O21" s="24"/>
      <c r="P21" s="25"/>
    </row>
    <row r="22" spans="1:16" x14ac:dyDescent="0.2">
      <c r="A22" s="23"/>
      <c r="B22" s="24"/>
      <c r="C22" s="24"/>
      <c r="D22" s="24"/>
      <c r="E22" s="24"/>
      <c r="F22" s="24"/>
      <c r="G22" s="24"/>
      <c r="H22" s="24"/>
      <c r="I22" s="24"/>
      <c r="J22" s="24"/>
      <c r="K22" s="24"/>
      <c r="L22" s="24"/>
      <c r="M22" s="24"/>
      <c r="N22" s="24"/>
      <c r="O22" s="24"/>
      <c r="P22" s="25"/>
    </row>
    <row r="23" spans="1:16" x14ac:dyDescent="0.2">
      <c r="A23" s="23"/>
      <c r="B23" s="24"/>
      <c r="C23" s="24"/>
      <c r="D23" s="24"/>
      <c r="E23" s="24"/>
      <c r="F23" s="24"/>
      <c r="G23" s="24"/>
      <c r="H23" s="24"/>
      <c r="I23" s="24"/>
      <c r="J23" s="24"/>
      <c r="K23" s="24"/>
      <c r="L23" s="24"/>
      <c r="M23" s="24"/>
      <c r="N23" s="24"/>
      <c r="O23" s="24"/>
      <c r="P23" s="25"/>
    </row>
    <row r="24" spans="1:16" ht="13.5" thickBot="1" x14ac:dyDescent="0.25">
      <c r="A24" s="23"/>
      <c r="B24" s="24"/>
      <c r="C24" s="24"/>
      <c r="D24" s="24"/>
      <c r="E24" s="24"/>
      <c r="F24" s="24"/>
      <c r="G24" s="24"/>
      <c r="H24" s="24"/>
      <c r="I24" s="24"/>
      <c r="J24" s="24"/>
      <c r="K24" s="24"/>
      <c r="L24" s="24"/>
      <c r="M24" s="24"/>
      <c r="N24" s="24"/>
      <c r="O24" s="24"/>
      <c r="P24" s="25"/>
    </row>
    <row r="25" spans="1:16" ht="15.75" thickBot="1" x14ac:dyDescent="0.25">
      <c r="A25" s="23"/>
      <c r="B25" s="305" t="s">
        <v>269</v>
      </c>
      <c r="C25" s="303"/>
      <c r="D25" s="303"/>
      <c r="E25" s="303"/>
      <c r="F25" s="304"/>
      <c r="G25" s="24"/>
      <c r="H25" s="306" t="s">
        <v>18</v>
      </c>
      <c r="I25" s="287"/>
      <c r="J25" s="287"/>
      <c r="K25" s="287"/>
      <c r="L25" s="288" t="s">
        <v>122</v>
      </c>
      <c r="M25" s="315" t="s">
        <v>69</v>
      </c>
      <c r="N25" s="319" t="s">
        <v>263</v>
      </c>
      <c r="O25" s="289" t="s">
        <v>84</v>
      </c>
      <c r="P25" s="25"/>
    </row>
    <row r="26" spans="1:16" x14ac:dyDescent="0.2">
      <c r="A26" s="23"/>
      <c r="B26" s="722" t="str">
        <f>'Entry Form'!M13</f>
        <v>RES system (excl batteries)</v>
      </c>
      <c r="C26" s="723"/>
      <c r="D26" s="724"/>
      <c r="E26" s="312" t="str">
        <f>'Entry Form'!O13</f>
        <v>yes</v>
      </c>
      <c r="F26" s="272"/>
      <c r="G26" s="24"/>
      <c r="H26" s="284">
        <v>1</v>
      </c>
      <c r="I26" s="725" t="s">
        <v>7</v>
      </c>
      <c r="J26" s="726"/>
      <c r="K26" s="726"/>
      <c r="L26" s="290">
        <f>'Entry Form'!O31</f>
        <v>67.099999999999994</v>
      </c>
      <c r="M26" s="316">
        <f>'Entry Form'!O31</f>
        <v>67.099999999999994</v>
      </c>
      <c r="N26" s="284"/>
      <c r="O26" s="291" t="s">
        <v>0</v>
      </c>
      <c r="P26" s="25"/>
    </row>
    <row r="27" spans="1:16" ht="12.75" customHeight="1" x14ac:dyDescent="0.2">
      <c r="A27" s="23"/>
      <c r="B27" s="703" t="str">
        <f>'Entry Form'!M14</f>
        <v>Upholstery type</v>
      </c>
      <c r="C27" s="704"/>
      <c r="D27" s="705"/>
      <c r="E27" s="313" t="str">
        <f>'Entry Form'!O14</f>
        <v>Leather</v>
      </c>
      <c r="F27" s="273"/>
      <c r="G27" s="24"/>
      <c r="H27" s="285">
        <v>2</v>
      </c>
      <c r="I27" s="711" t="s">
        <v>132</v>
      </c>
      <c r="J27" s="712"/>
      <c r="K27" s="712"/>
      <c r="L27" s="292">
        <f>'Entry Form'!O35</f>
        <v>5.35</v>
      </c>
      <c r="M27" s="322" t="s">
        <v>268</v>
      </c>
      <c r="N27" s="285"/>
      <c r="O27" s="293" t="s">
        <v>0</v>
      </c>
      <c r="P27" s="25"/>
    </row>
    <row r="28" spans="1:16" ht="12.75" customHeight="1" x14ac:dyDescent="0.2">
      <c r="A28" s="23"/>
      <c r="B28" s="703" t="str">
        <f>'Entry Form'!M15</f>
        <v>Tailwheel type</v>
      </c>
      <c r="C28" s="704"/>
      <c r="D28" s="705"/>
      <c r="E28" s="313" t="str">
        <f>'Entry Form'!O15</f>
        <v>Retractable</v>
      </c>
      <c r="F28" s="273"/>
      <c r="G28" s="24"/>
      <c r="H28" s="285">
        <v>3</v>
      </c>
      <c r="I28" s="711" t="s">
        <v>79</v>
      </c>
      <c r="J28" s="712"/>
      <c r="K28" s="712"/>
      <c r="L28" s="321" t="s">
        <v>268</v>
      </c>
      <c r="M28" s="317">
        <f>'Entry Form'!O38</f>
        <v>16.100000000000001</v>
      </c>
      <c r="N28" s="285"/>
      <c r="O28" s="293" t="s">
        <v>0</v>
      </c>
      <c r="P28" s="25"/>
    </row>
    <row r="29" spans="1:16" ht="12.75" customHeight="1" x14ac:dyDescent="0.2">
      <c r="A29" s="23"/>
      <c r="B29" s="703" t="str">
        <f>'Entry Form'!M16</f>
        <v>Bug wiper motors (x2)</v>
      </c>
      <c r="C29" s="704"/>
      <c r="D29" s="705"/>
      <c r="E29" s="313" t="str">
        <f>'Entry Form'!O16</f>
        <v>yes</v>
      </c>
      <c r="F29" s="273"/>
      <c r="G29" s="24"/>
      <c r="H29" s="285">
        <v>4</v>
      </c>
      <c r="I29" s="711" t="s">
        <v>8</v>
      </c>
      <c r="J29" s="712"/>
      <c r="K29" s="712"/>
      <c r="L29" s="292">
        <f>'Entry Form'!O33</f>
        <v>66.849999999999994</v>
      </c>
      <c r="M29" s="317">
        <f>'Entry Form'!O33</f>
        <v>66.849999999999994</v>
      </c>
      <c r="N29" s="285"/>
      <c r="O29" s="293" t="s">
        <v>0</v>
      </c>
      <c r="P29" s="25"/>
    </row>
    <row r="30" spans="1:16" ht="12.75" customHeight="1" x14ac:dyDescent="0.2">
      <c r="A30" s="23"/>
      <c r="B30" s="703" t="str">
        <f>'Entry Form'!M17</f>
        <v>Tailwheel hub</v>
      </c>
      <c r="C30" s="704"/>
      <c r="D30" s="705"/>
      <c r="E30" s="313" t="str">
        <f>'Entry Form'!O17</f>
        <v>Aluminium</v>
      </c>
      <c r="F30" s="273"/>
      <c r="G30" s="24"/>
      <c r="H30" s="285">
        <v>5</v>
      </c>
      <c r="I30" s="711" t="s">
        <v>133</v>
      </c>
      <c r="J30" s="712"/>
      <c r="K30" s="712"/>
      <c r="L30" s="292">
        <f>'Entry Form'!O37</f>
        <v>5.3</v>
      </c>
      <c r="M30" s="322" t="s">
        <v>268</v>
      </c>
      <c r="N30" s="285"/>
      <c r="O30" s="293" t="s">
        <v>0</v>
      </c>
      <c r="P30" s="25"/>
    </row>
    <row r="31" spans="1:16" ht="12.75" customHeight="1" x14ac:dyDescent="0.2">
      <c r="A31" s="23"/>
      <c r="B31" s="703" t="str">
        <f>'Entry Form'!M18</f>
        <v>Transponder antenna</v>
      </c>
      <c r="C31" s="704"/>
      <c r="D31" s="705"/>
      <c r="E31" s="313" t="str">
        <f>'Entry Form'!O18</f>
        <v>yes</v>
      </c>
      <c r="F31" s="273"/>
      <c r="G31" s="24"/>
      <c r="H31" s="285">
        <v>6</v>
      </c>
      <c r="I31" s="711" t="s">
        <v>80</v>
      </c>
      <c r="J31" s="712"/>
      <c r="K31" s="712"/>
      <c r="L31" s="321" t="s">
        <v>268</v>
      </c>
      <c r="M31" s="317">
        <f>'Entry Form'!O39</f>
        <v>16.149999999999999</v>
      </c>
      <c r="N31" s="285"/>
      <c r="O31" s="293" t="s">
        <v>0</v>
      </c>
      <c r="P31" s="25"/>
    </row>
    <row r="32" spans="1:16" ht="12.75" customHeight="1" x14ac:dyDescent="0.2">
      <c r="A32" s="23"/>
      <c r="B32" s="703" t="str">
        <f>'Entry Form'!M19</f>
        <v>Flight Manual</v>
      </c>
      <c r="C32" s="704"/>
      <c r="D32" s="705"/>
      <c r="E32" s="313" t="str">
        <f>'Entry Form'!O19</f>
        <v>No</v>
      </c>
      <c r="F32" s="273"/>
      <c r="G32" s="24"/>
      <c r="H32" s="285">
        <v>7</v>
      </c>
      <c r="I32" s="711" t="s">
        <v>60</v>
      </c>
      <c r="J32" s="712"/>
      <c r="K32" s="712"/>
      <c r="L32" s="292">
        <f>'Entry Form'!O40</f>
        <v>6</v>
      </c>
      <c r="M32" s="317">
        <f>'Entry Form'!O40</f>
        <v>6</v>
      </c>
      <c r="N32" s="292">
        <f>L32</f>
        <v>6</v>
      </c>
      <c r="O32" s="293" t="s">
        <v>0</v>
      </c>
      <c r="P32" s="25"/>
    </row>
    <row r="33" spans="1:16" ht="13.5" customHeight="1" thickBot="1" x14ac:dyDescent="0.25">
      <c r="A33" s="23"/>
      <c r="B33" s="703" t="str">
        <f>'Entry Form'!M20</f>
        <v>Flight Folio</v>
      </c>
      <c r="C33" s="704"/>
      <c r="D33" s="705"/>
      <c r="E33" s="313" t="str">
        <f>'Entry Form'!O20</f>
        <v>No</v>
      </c>
      <c r="F33" s="273"/>
      <c r="G33" s="24"/>
      <c r="H33" s="294">
        <v>8</v>
      </c>
      <c r="I33" s="713" t="s">
        <v>61</v>
      </c>
      <c r="J33" s="714"/>
      <c r="K33" s="714"/>
      <c r="L33" s="295">
        <f>'Entry Form'!O42+SUM('Entry Form'!F50:F59)</f>
        <v>172.17</v>
      </c>
      <c r="M33" s="318">
        <f>'Entry Form'!O42+SUM('Entry Form'!F50:F59)</f>
        <v>172.17</v>
      </c>
      <c r="N33" s="320">
        <f>L33</f>
        <v>172.17</v>
      </c>
      <c r="O33" s="296" t="s">
        <v>0</v>
      </c>
      <c r="P33" s="25"/>
    </row>
    <row r="34" spans="1:16" ht="12.75" customHeight="1" x14ac:dyDescent="0.2">
      <c r="A34" s="23"/>
      <c r="B34" s="703" t="str">
        <f>'Entry Form'!M21</f>
        <v>Rigging Tool</v>
      </c>
      <c r="C34" s="704"/>
      <c r="D34" s="705"/>
      <c r="E34" s="313" t="str">
        <f>'Entry Form'!O21</f>
        <v>No</v>
      </c>
      <c r="F34" s="273"/>
      <c r="G34" s="24"/>
      <c r="H34" s="297"/>
      <c r="I34" s="298"/>
      <c r="J34" s="298"/>
      <c r="K34" s="298"/>
      <c r="L34" s="299"/>
      <c r="M34" s="300"/>
      <c r="N34" s="301"/>
      <c r="O34" s="302"/>
      <c r="P34" s="25"/>
    </row>
    <row r="35" spans="1:16" ht="12.75" customHeight="1" x14ac:dyDescent="0.2">
      <c r="A35" s="23"/>
      <c r="B35" s="703" t="str">
        <f>'Entry Form'!M22</f>
        <v>12V Main Battery 1</v>
      </c>
      <c r="C35" s="704"/>
      <c r="D35" s="705"/>
      <c r="E35" s="313" t="str">
        <f>'Entry Form'!O22</f>
        <v>LifePo</v>
      </c>
      <c r="F35" s="273"/>
      <c r="G35" s="79">
        <v>1</v>
      </c>
      <c r="H35" s="715" t="s">
        <v>267</v>
      </c>
      <c r="I35" s="716"/>
      <c r="J35" s="716"/>
      <c r="K35" s="716"/>
      <c r="L35" s="717"/>
      <c r="M35" s="717"/>
      <c r="N35" s="717"/>
      <c r="O35" s="717"/>
      <c r="P35" s="25"/>
    </row>
    <row r="36" spans="1:16" ht="13.5" customHeight="1" x14ac:dyDescent="0.2">
      <c r="A36" s="23"/>
      <c r="B36" s="703" t="str">
        <f>'Entry Form'!M23</f>
        <v>12V Main Battery 2</v>
      </c>
      <c r="C36" s="704"/>
      <c r="D36" s="705"/>
      <c r="E36" s="313" t="str">
        <f>'Entry Form'!O23</f>
        <v>LifePo</v>
      </c>
      <c r="F36" s="273"/>
      <c r="G36" s="79">
        <v>2</v>
      </c>
      <c r="H36" s="706" t="s">
        <v>264</v>
      </c>
      <c r="I36" s="707"/>
      <c r="J36" s="707"/>
      <c r="K36" s="707"/>
      <c r="L36" s="707"/>
      <c r="M36" s="707"/>
      <c r="N36" s="707"/>
      <c r="O36" s="24"/>
      <c r="P36" s="25"/>
    </row>
    <row r="37" spans="1:16" ht="13.5" customHeight="1" thickBot="1" x14ac:dyDescent="0.25">
      <c r="A37" s="23"/>
      <c r="B37" s="708" t="str">
        <f>'Entry Form'!M25</f>
        <v>CofG Requested:</v>
      </c>
      <c r="C37" s="709"/>
      <c r="D37" s="710"/>
      <c r="E37" s="314">
        <f>'Entry Form'!O25</f>
        <v>0</v>
      </c>
      <c r="F37" s="274"/>
      <c r="G37" s="79"/>
      <c r="H37" s="707"/>
      <c r="I37" s="707"/>
      <c r="J37" s="707"/>
      <c r="K37" s="707"/>
      <c r="L37" s="707"/>
      <c r="M37" s="707"/>
      <c r="N37" s="707"/>
      <c r="O37" s="24"/>
      <c r="P37" s="25"/>
    </row>
    <row r="38" spans="1:16" x14ac:dyDescent="0.2">
      <c r="A38" s="23"/>
      <c r="B38" s="24"/>
      <c r="C38" s="24"/>
      <c r="D38" s="24"/>
      <c r="E38" s="24"/>
      <c r="F38" s="24"/>
      <c r="G38" s="24"/>
      <c r="H38" s="270"/>
      <c r="I38" s="24"/>
      <c r="J38" s="24"/>
      <c r="K38" s="24"/>
      <c r="L38" s="24"/>
      <c r="M38" s="24"/>
      <c r="N38" s="24"/>
      <c r="O38" s="24"/>
      <c r="P38" s="25"/>
    </row>
    <row r="39" spans="1:16" ht="15.75" x14ac:dyDescent="0.25">
      <c r="A39" s="23"/>
      <c r="B39" s="37" t="s">
        <v>271</v>
      </c>
      <c r="C39" s="24"/>
      <c r="D39" s="24"/>
      <c r="E39" s="24"/>
      <c r="F39" s="24"/>
      <c r="G39" s="24"/>
      <c r="H39" s="270"/>
      <c r="I39" s="24"/>
      <c r="J39" s="24"/>
      <c r="K39" s="24"/>
      <c r="L39" s="24"/>
      <c r="M39" s="24"/>
      <c r="N39" s="24"/>
      <c r="O39" s="24"/>
      <c r="P39" s="25"/>
    </row>
    <row r="40" spans="1:16" ht="3" customHeight="1" thickBot="1" x14ac:dyDescent="0.25">
      <c r="A40" s="23"/>
      <c r="B40" s="24"/>
      <c r="C40" s="24"/>
      <c r="D40" s="24"/>
      <c r="E40" s="24"/>
      <c r="F40" s="24"/>
      <c r="G40" s="24"/>
      <c r="H40" s="24"/>
      <c r="I40" s="24"/>
      <c r="J40" s="24"/>
      <c r="K40" s="24"/>
      <c r="L40" s="24"/>
      <c r="M40" s="24"/>
      <c r="N40" s="24"/>
      <c r="O40" s="24"/>
      <c r="P40" s="25"/>
    </row>
    <row r="41" spans="1:16" ht="15.75" customHeight="1" thickBot="1" x14ac:dyDescent="0.3">
      <c r="A41" s="23"/>
      <c r="B41" s="690" t="s">
        <v>160</v>
      </c>
      <c r="C41" s="691"/>
      <c r="D41" s="691"/>
      <c r="E41" s="692"/>
      <c r="F41" s="178" t="s">
        <v>84</v>
      </c>
      <c r="G41" s="24"/>
      <c r="H41" s="693" t="s">
        <v>265</v>
      </c>
      <c r="I41" s="694"/>
      <c r="J41" s="694"/>
      <c r="K41" s="694"/>
      <c r="L41" s="695"/>
      <c r="M41" s="177" t="s">
        <v>22</v>
      </c>
      <c r="N41" s="177" t="s">
        <v>21</v>
      </c>
      <c r="O41" s="696" t="s">
        <v>84</v>
      </c>
      <c r="P41" s="35"/>
    </row>
    <row r="42" spans="1:16" ht="13.5" thickBot="1" x14ac:dyDescent="0.25">
      <c r="A42" s="23"/>
      <c r="B42" s="698" t="s">
        <v>86</v>
      </c>
      <c r="C42" s="699"/>
      <c r="D42" s="699"/>
      <c r="E42" s="286">
        <f>IFERROR(C13+C14,"-")</f>
        <v>327.2</v>
      </c>
      <c r="F42" s="309" t="s">
        <v>257</v>
      </c>
      <c r="G42" s="24"/>
      <c r="H42" s="262" t="s">
        <v>259</v>
      </c>
      <c r="I42" s="263"/>
      <c r="J42" s="263"/>
      <c r="K42" s="263"/>
      <c r="L42" s="264" t="s">
        <v>260</v>
      </c>
      <c r="M42" s="216" t="s">
        <v>123</v>
      </c>
      <c r="N42" s="216" t="s">
        <v>123</v>
      </c>
      <c r="O42" s="697"/>
      <c r="P42" s="35"/>
    </row>
    <row r="43" spans="1:16" ht="12.75" customHeight="1" x14ac:dyDescent="0.2">
      <c r="A43" s="23"/>
      <c r="B43" s="698" t="s">
        <v>23</v>
      </c>
      <c r="C43" s="699"/>
      <c r="D43" s="699"/>
      <c r="E43" s="50">
        <f>IFERROR((C16*C14/(E42))+C15,"-")</f>
        <v>588.95171149144255</v>
      </c>
      <c r="F43" s="309" t="s">
        <v>256</v>
      </c>
      <c r="G43" s="24"/>
      <c r="H43" s="258" t="s">
        <v>238</v>
      </c>
      <c r="I43" s="21"/>
      <c r="J43" s="21"/>
      <c r="K43" s="21"/>
      <c r="L43" s="65">
        <v>0</v>
      </c>
      <c r="M43" s="200">
        <f>IFERROR(ROUNDUP('W&amp;B Report Metric'!E42*('W&amp;B Report Metric'!E43-Config!$J$5)/(Config!$J$5-Config!$D$7),0),"-")</f>
        <v>63</v>
      </c>
      <c r="N43" s="200">
        <f>IFERROR(ROUNDDOWN(MIN('W&amp;B Report Metric'!E42*('W&amp;B Report Metric'!E43-Config!$I$5)/(-Config!$D$7+Config!$I$5),115),0),"-")</f>
        <v>114</v>
      </c>
      <c r="O43" s="223" t="s">
        <v>0</v>
      </c>
      <c r="P43" s="35"/>
    </row>
    <row r="44" spans="1:16" x14ac:dyDescent="0.2">
      <c r="A44" s="23"/>
      <c r="B44" s="698" t="s">
        <v>24</v>
      </c>
      <c r="C44" s="699"/>
      <c r="D44" s="699"/>
      <c r="E44" s="50">
        <f>IFERROR(E42*E43/1000,"-")</f>
        <v>192.70500000000001</v>
      </c>
      <c r="F44" s="309" t="s">
        <v>258</v>
      </c>
      <c r="G44" s="23"/>
      <c r="H44" s="259" t="s">
        <v>238</v>
      </c>
      <c r="I44" s="24"/>
      <c r="J44" s="24"/>
      <c r="K44" s="24"/>
      <c r="L44" s="43">
        <v>1</v>
      </c>
      <c r="M44" s="222">
        <f>IFERROR(ROUNDUP(M43+Config!C24*(Config!D24-Config!J5)/(Config!J5-Config!D7),0),"-")</f>
        <v>75</v>
      </c>
      <c r="N44" s="222">
        <f>IFERROR(ROUNDDOWN(MIN(N43+(Config!D24-278)/(278-Config!D7)*Config!C24,115),0),"-")</f>
        <v>115</v>
      </c>
      <c r="O44" s="199" t="s">
        <v>0</v>
      </c>
      <c r="P44" s="35"/>
    </row>
    <row r="45" spans="1:16" x14ac:dyDescent="0.2">
      <c r="A45" s="23"/>
      <c r="B45" s="278" t="s">
        <v>169</v>
      </c>
      <c r="C45" s="279"/>
      <c r="D45" s="279"/>
      <c r="E45" s="277">
        <v>525</v>
      </c>
      <c r="F45" s="310" t="s">
        <v>257</v>
      </c>
      <c r="G45" s="24"/>
      <c r="H45" s="259" t="s">
        <v>238</v>
      </c>
      <c r="I45" s="24"/>
      <c r="J45" s="24"/>
      <c r="K45" s="24"/>
      <c r="L45" s="43">
        <v>2</v>
      </c>
      <c r="M45" s="222">
        <f>IFERROR(ROUNDUP(M44+Config!C25*(Config!D25-Config!J5)/(Config!J5-Config!D7),0),"-")</f>
        <v>87</v>
      </c>
      <c r="N45" s="222">
        <f>IFERROR(ROUNDDOWN(MIN(N44+(Config!D25-286)/(286-Config!D7)*Config!C25,115),0),"-")</f>
        <v>115</v>
      </c>
      <c r="O45" s="199" t="s">
        <v>0</v>
      </c>
      <c r="P45" s="35"/>
    </row>
    <row r="46" spans="1:16" x14ac:dyDescent="0.2">
      <c r="A46" s="23"/>
      <c r="B46" s="280" t="s">
        <v>19</v>
      </c>
      <c r="C46" s="271"/>
      <c r="D46" s="271"/>
      <c r="E46" s="50">
        <f>IFERROR(E45-E42,"-")</f>
        <v>197.8</v>
      </c>
      <c r="F46" s="309" t="s">
        <v>257</v>
      </c>
      <c r="G46" s="24"/>
      <c r="H46" s="265" t="s">
        <v>261</v>
      </c>
      <c r="I46" s="266"/>
      <c r="J46" s="266"/>
      <c r="K46" s="266"/>
      <c r="L46" s="267">
        <v>0</v>
      </c>
      <c r="M46" s="268">
        <f>IFERROR(ROUNDUP(M43+(Config!C14+Config!C15)*(Config!F15-Config!J5)/(Config!J5-Config!D7),0),"-")</f>
        <v>99</v>
      </c>
      <c r="N46" s="268">
        <f>IFERROR(ROUNDDOWN(MIN(N43+(Config!D14-281)/(281-Config!D7)*Config!C14,115),0),"-")</f>
        <v>115</v>
      </c>
      <c r="O46" s="269" t="s">
        <v>0</v>
      </c>
      <c r="P46" s="35"/>
    </row>
    <row r="47" spans="1:16" x14ac:dyDescent="0.2">
      <c r="A47" s="23"/>
      <c r="B47" s="281" t="s">
        <v>262</v>
      </c>
      <c r="C47" s="271"/>
      <c r="D47" s="271"/>
      <c r="E47" s="50">
        <v>340</v>
      </c>
      <c r="F47" s="309" t="s">
        <v>257</v>
      </c>
      <c r="G47" s="24"/>
      <c r="H47" s="259" t="s">
        <v>261</v>
      </c>
      <c r="I47" s="24"/>
      <c r="J47" s="24"/>
      <c r="K47" s="24"/>
      <c r="L47" s="55">
        <v>1</v>
      </c>
      <c r="M47" s="222">
        <f>IFERROR(ROUNDUP(M46+Config!C24*(Config!D24-Config!J5)/(Config!J5-Config!D7),0),"-")</f>
        <v>111</v>
      </c>
      <c r="N47" s="222">
        <f>IFERROR(ROUNDDOWN(MIN(N46+(Config!D24-278)/(278-Config!D7)*Config!C24,115),0),"-")</f>
        <v>115</v>
      </c>
      <c r="O47" s="199" t="s">
        <v>0</v>
      </c>
      <c r="P47" s="35"/>
    </row>
    <row r="48" spans="1:16" ht="13.5" thickBot="1" x14ac:dyDescent="0.25">
      <c r="A48" s="23"/>
      <c r="B48" s="282" t="s">
        <v>87</v>
      </c>
      <c r="C48" s="283"/>
      <c r="D48" s="283"/>
      <c r="E48" s="51">
        <f>IF(SpanID&lt;&gt;2,SUM(N32:N33),"-")</f>
        <v>178.17</v>
      </c>
      <c r="F48" s="311" t="s">
        <v>257</v>
      </c>
      <c r="G48" s="24"/>
      <c r="H48" s="260" t="s">
        <v>261</v>
      </c>
      <c r="I48" s="32"/>
      <c r="J48" s="32"/>
      <c r="K48" s="32"/>
      <c r="L48" s="261">
        <v>2</v>
      </c>
      <c r="M48" s="179">
        <f>IFERROR(ROUNDUP(M47+Config!C24*(Config!D24-Config!J5)/(Config!J5-Config!D7),0),"-")</f>
        <v>123</v>
      </c>
      <c r="N48" s="179">
        <f>IFERROR(ROUNDDOWN(MIN(N47+(Config!D24-278)/(278-Config!D7)*Config!C24,115),0),"-")</f>
        <v>115</v>
      </c>
      <c r="O48" s="180" t="s">
        <v>0</v>
      </c>
      <c r="P48" s="35"/>
    </row>
    <row r="49" spans="1:16" x14ac:dyDescent="0.2">
      <c r="A49" s="23"/>
      <c r="B49" s="270"/>
      <c r="C49" s="251"/>
      <c r="D49" s="251"/>
      <c r="E49" s="50"/>
      <c r="F49" s="221"/>
      <c r="G49" s="24"/>
      <c r="H49" s="271"/>
      <c r="I49" s="24"/>
      <c r="J49" s="24"/>
      <c r="K49" s="24"/>
      <c r="L49" s="55"/>
      <c r="M49" s="50"/>
      <c r="N49" s="44"/>
      <c r="O49" s="55"/>
      <c r="P49" s="35"/>
    </row>
    <row r="50" spans="1:16" ht="15.75" x14ac:dyDescent="0.25">
      <c r="A50" s="23"/>
      <c r="B50" s="37" t="s">
        <v>272</v>
      </c>
      <c r="C50" s="251"/>
      <c r="D50" s="251"/>
      <c r="E50" s="50"/>
      <c r="F50" s="221"/>
      <c r="G50" s="24"/>
      <c r="H50" s="271"/>
      <c r="I50" s="24"/>
      <c r="J50" s="24"/>
      <c r="K50" s="24"/>
      <c r="L50" s="55"/>
      <c r="M50" s="50"/>
      <c r="N50" s="44"/>
      <c r="O50" s="55"/>
      <c r="P50" s="35"/>
    </row>
    <row r="51" spans="1:16" ht="3.75" customHeight="1" thickBot="1" x14ac:dyDescent="0.25">
      <c r="A51" s="23"/>
      <c r="B51" s="24"/>
      <c r="C51" s="24"/>
      <c r="D51" s="24"/>
      <c r="E51" s="253"/>
      <c r="F51" s="26"/>
      <c r="G51" s="24"/>
      <c r="H51" s="24"/>
      <c r="I51" s="24"/>
      <c r="J51" s="24"/>
      <c r="K51" s="24"/>
      <c r="L51" s="24"/>
      <c r="M51" s="24"/>
      <c r="N51" s="24"/>
      <c r="O51" s="24"/>
      <c r="P51" s="35"/>
    </row>
    <row r="52" spans="1:16" ht="15.75" customHeight="1" thickBot="1" x14ac:dyDescent="0.3">
      <c r="A52" s="23"/>
      <c r="B52" s="690" t="s">
        <v>161</v>
      </c>
      <c r="C52" s="691"/>
      <c r="D52" s="691"/>
      <c r="E52" s="692"/>
      <c r="F52" s="178" t="s">
        <v>84</v>
      </c>
      <c r="G52" s="24"/>
      <c r="H52" s="693" t="s">
        <v>266</v>
      </c>
      <c r="I52" s="694"/>
      <c r="J52" s="694"/>
      <c r="K52" s="694"/>
      <c r="L52" s="695"/>
      <c r="M52" s="178" t="s">
        <v>22</v>
      </c>
      <c r="N52" s="177" t="s">
        <v>21</v>
      </c>
      <c r="O52" s="696" t="s">
        <v>84</v>
      </c>
      <c r="P52" s="35"/>
    </row>
    <row r="53" spans="1:16" ht="13.5" thickBot="1" x14ac:dyDescent="0.25">
      <c r="A53" s="23"/>
      <c r="B53" s="700" t="s">
        <v>85</v>
      </c>
      <c r="C53" s="701"/>
      <c r="D53" s="101"/>
      <c r="E53" s="257">
        <f>SUM(D13:D14)</f>
        <v>348.90999999999997</v>
      </c>
      <c r="F53" s="308" t="s">
        <v>0</v>
      </c>
      <c r="G53" s="24"/>
      <c r="H53" s="262" t="s">
        <v>259</v>
      </c>
      <c r="I53" s="263"/>
      <c r="J53" s="263"/>
      <c r="K53" s="263"/>
      <c r="L53" s="264" t="s">
        <v>260</v>
      </c>
      <c r="M53" s="325" t="s">
        <v>69</v>
      </c>
      <c r="N53" s="217" t="s">
        <v>69</v>
      </c>
      <c r="O53" s="697"/>
      <c r="P53" s="35"/>
    </row>
    <row r="54" spans="1:16" x14ac:dyDescent="0.2">
      <c r="A54" s="23"/>
      <c r="B54" s="688" t="s">
        <v>23</v>
      </c>
      <c r="C54" s="689"/>
      <c r="D54" s="702"/>
      <c r="E54" s="50">
        <f>IFERROR(C16*D14/E53+C15,"-")</f>
        <v>581.5514316012725</v>
      </c>
      <c r="F54" s="309" t="s">
        <v>1</v>
      </c>
      <c r="G54" s="24"/>
      <c r="H54" s="258" t="s">
        <v>238</v>
      </c>
      <c r="I54" s="21"/>
      <c r="J54" s="21"/>
      <c r="K54" s="21"/>
      <c r="L54" s="65">
        <v>0</v>
      </c>
      <c r="M54" s="520">
        <f>IFERROR(ROUNDUP(('W&amp;B Report Metric'!E53*('W&amp;B Report Metric'!E54-Config!$P$5))/(Config!$P$5-Config!$D$7),0),"-")</f>
        <v>62</v>
      </c>
      <c r="N54" s="200">
        <f>IFERROR(ROUNDDOWN(MIN('W&amp;B Report Metric'!E53*('W&amp;B Report Metric'!E54-Config!$O$5)/(-Config!$D$7+Config!$O$5),115),0),"-")</f>
        <v>115</v>
      </c>
      <c r="O54" s="223" t="s">
        <v>0</v>
      </c>
      <c r="P54" s="35"/>
    </row>
    <row r="55" spans="1:16" x14ac:dyDescent="0.2">
      <c r="A55" s="23"/>
      <c r="B55" s="688" t="s">
        <v>24</v>
      </c>
      <c r="C55" s="689"/>
      <c r="D55" s="176"/>
      <c r="E55" s="50">
        <f>IFERROR(E53*E54/1000,"-")</f>
        <v>202.90910999999997</v>
      </c>
      <c r="F55" s="309" t="s">
        <v>83</v>
      </c>
      <c r="G55" s="24"/>
      <c r="H55" s="259" t="s">
        <v>238</v>
      </c>
      <c r="I55" s="24"/>
      <c r="J55" s="24"/>
      <c r="K55" s="24"/>
      <c r="L55" s="43">
        <v>1</v>
      </c>
      <c r="M55" s="222">
        <f>IFERROR(ROUNDUP(M54+Config!C24*(Config!D24-Config!P5)/(Config!P5-Config!D7),0),"-")</f>
        <v>74</v>
      </c>
      <c r="N55" s="222">
        <f>IFERROR(ROUNDDOWN(MIN(N54+Config!C24*(Config!D24-Config!O5)/(Config!O5-Config!D7),115),0),"-")</f>
        <v>115</v>
      </c>
      <c r="O55" s="199" t="s">
        <v>0</v>
      </c>
      <c r="P55" s="35"/>
    </row>
    <row r="56" spans="1:16" x14ac:dyDescent="0.2">
      <c r="A56" s="23"/>
      <c r="B56" s="275" t="s">
        <v>169</v>
      </c>
      <c r="C56" s="276"/>
      <c r="D56" s="276"/>
      <c r="E56" s="277">
        <v>600</v>
      </c>
      <c r="F56" s="310" t="s">
        <v>257</v>
      </c>
      <c r="G56" s="24"/>
      <c r="H56" s="259" t="s">
        <v>238</v>
      </c>
      <c r="I56" s="24"/>
      <c r="J56" s="24"/>
      <c r="K56" s="24"/>
      <c r="L56" s="43">
        <v>2</v>
      </c>
      <c r="M56" s="222">
        <f>IFERROR(ROUNDUP(M55+Config!C24*(Config!D24-Config!P5)/(Config!P5-Config!D7),0),"-")</f>
        <v>86</v>
      </c>
      <c r="N56" s="222">
        <f>IFERROR(ROUNDDOWN(MIN(N57+Config!C24*(Config!D24-Config!O5)/(Config!O5-Config!D7),115),0),"-")</f>
        <v>115</v>
      </c>
      <c r="O56" s="199" t="s">
        <v>0</v>
      </c>
      <c r="P56" s="35"/>
    </row>
    <row r="57" spans="1:16" x14ac:dyDescent="0.2">
      <c r="A57" s="23"/>
      <c r="B57" s="254" t="s">
        <v>19</v>
      </c>
      <c r="C57" s="251"/>
      <c r="D57" s="251"/>
      <c r="E57" s="50">
        <f>IFERROR(E56-E53,"-")</f>
        <v>251.09000000000003</v>
      </c>
      <c r="F57" s="309" t="s">
        <v>257</v>
      </c>
      <c r="G57" s="24"/>
      <c r="H57" s="265" t="s">
        <v>261</v>
      </c>
      <c r="I57" s="266"/>
      <c r="J57" s="266"/>
      <c r="K57" s="266"/>
      <c r="L57" s="307">
        <v>0</v>
      </c>
      <c r="M57" s="268">
        <f>IFERROR(ROUNDUP(M54+(Config!C14+Config!C15)*(Config!F15-Config!P5)/(Config!P5-Config!D7),0),"-")</f>
        <v>98</v>
      </c>
      <c r="N57" s="268">
        <f>IFERROR(ROUNDDOWN(MIN('W&amp;B Report Metric'!E53*('W&amp;B Report Metric'!E54-Config!$O$5)/(-Config!$D$7+Config!$O$5)+(Config!D14-Config!M12)/(Config!M12-Config!D7)*Config!C14,115),0),"-")</f>
        <v>115</v>
      </c>
      <c r="O57" s="269" t="s">
        <v>0</v>
      </c>
      <c r="P57" s="35"/>
    </row>
    <row r="58" spans="1:16" x14ac:dyDescent="0.2">
      <c r="A58" s="23"/>
      <c r="B58" s="255" t="s">
        <v>262</v>
      </c>
      <c r="C58" s="251"/>
      <c r="D58" s="251"/>
      <c r="E58" s="50">
        <v>340</v>
      </c>
      <c r="F58" s="309" t="s">
        <v>257</v>
      </c>
      <c r="G58" s="24"/>
      <c r="H58" s="259" t="s">
        <v>261</v>
      </c>
      <c r="I58" s="24"/>
      <c r="J58" s="24"/>
      <c r="K58" s="24"/>
      <c r="L58" s="55">
        <v>1</v>
      </c>
      <c r="M58" s="222">
        <f>IFERROR(ROUNDUP(M57+Config!C24*(Config!D24-Config!P5)/(Config!P5-Config!D7),0),"-")</f>
        <v>110</v>
      </c>
      <c r="N58" s="222">
        <f>IFERROR(ROUNDDOWN(MIN(N57+Config!C24*(Config!D24-Config!O5)/(Config!O5-Config!D7),115),0),"-")</f>
        <v>115</v>
      </c>
      <c r="O58" s="199" t="s">
        <v>0</v>
      </c>
      <c r="P58" s="35"/>
    </row>
    <row r="59" spans="1:16" ht="13.5" thickBot="1" x14ac:dyDescent="0.25">
      <c r="A59" s="23"/>
      <c r="B59" s="256" t="s">
        <v>87</v>
      </c>
      <c r="C59" s="250"/>
      <c r="D59" s="250"/>
      <c r="E59" s="51">
        <f>IF(SpanID&gt;1,SUM(N32:N33),"-")</f>
        <v>178.17</v>
      </c>
      <c r="F59" s="311" t="s">
        <v>257</v>
      </c>
      <c r="G59" s="24"/>
      <c r="H59" s="260" t="s">
        <v>261</v>
      </c>
      <c r="I59" s="32"/>
      <c r="J59" s="32"/>
      <c r="K59" s="32"/>
      <c r="L59" s="261">
        <v>2</v>
      </c>
      <c r="M59" s="179">
        <f>IFERROR(ROUNDUP(M58+Config!C24*(Config!D24-Config!P5)/(Config!P5-Config!D7),0),"-")</f>
        <v>122</v>
      </c>
      <c r="N59" s="179">
        <f>IFERROR(ROUNDDOWN(MIN(N58+Config!C24*(Config!D24-Config!O5)/(Config!O5-Config!D7),115),0),"-")</f>
        <v>115</v>
      </c>
      <c r="O59" s="180" t="s">
        <v>0</v>
      </c>
      <c r="P59" s="35"/>
    </row>
    <row r="60" spans="1:16" ht="4.5" customHeight="1" x14ac:dyDescent="0.2">
      <c r="A60" s="23"/>
      <c r="B60" s="251"/>
      <c r="C60" s="251"/>
      <c r="D60" s="176"/>
      <c r="E60" s="50"/>
      <c r="F60" s="221"/>
      <c r="G60" s="24"/>
      <c r="H60" s="176"/>
      <c r="I60" s="24"/>
      <c r="J60" s="24"/>
      <c r="K60" s="24"/>
      <c r="L60" s="24"/>
      <c r="M60" s="44"/>
      <c r="N60" s="44"/>
      <c r="O60" s="55"/>
      <c r="P60" s="35"/>
    </row>
    <row r="61" spans="1:16" ht="30" customHeight="1" thickBot="1" x14ac:dyDescent="0.25">
      <c r="A61" s="198"/>
      <c r="B61" s="187" t="s">
        <v>165</v>
      </c>
      <c r="C61" s="188"/>
      <c r="D61" s="323"/>
      <c r="E61" s="324"/>
      <c r="F61" s="187" t="s">
        <v>101</v>
      </c>
      <c r="G61" s="191"/>
      <c r="H61" s="188"/>
      <c r="I61" s="192"/>
      <c r="J61" s="193"/>
      <c r="K61" s="189"/>
      <c r="L61" s="190" t="s">
        <v>13</v>
      </c>
      <c r="M61" s="194"/>
      <c r="N61" s="195"/>
      <c r="O61" s="196"/>
      <c r="P61" s="197"/>
    </row>
    <row r="63" spans="1:16" ht="12.75" hidden="1" customHeight="1" x14ac:dyDescent="0.2"/>
    <row r="64" spans="1:16" ht="15.75" hidden="1" customHeight="1" x14ac:dyDescent="0.2"/>
    <row r="65" ht="12.75" hidden="1" customHeight="1" x14ac:dyDescent="0.2"/>
    <row r="66" ht="12.75" hidden="1" customHeight="1" x14ac:dyDescent="0.2"/>
    <row r="67" ht="12" hidden="1" customHeight="1" x14ac:dyDescent="0.2"/>
    <row r="68" ht="12" hidden="1" customHeight="1" x14ac:dyDescent="0.2"/>
    <row r="69" ht="12" hidden="1" customHeight="1" x14ac:dyDescent="0.2"/>
    <row r="70" ht="12" hidden="1" customHeight="1" x14ac:dyDescent="0.2"/>
    <row r="71" ht="12" hidden="1" customHeight="1" x14ac:dyDescent="0.2"/>
    <row r="72" ht="11.25" hidden="1" customHeight="1" x14ac:dyDescent="0.2"/>
    <row r="73" ht="11.25" hidden="1" customHeight="1" x14ac:dyDescent="0.2"/>
    <row r="74" ht="11.25" hidden="1" customHeight="1" x14ac:dyDescent="0.2"/>
    <row r="75" ht="12.75" hidden="1" customHeight="1" x14ac:dyDescent="0.2"/>
    <row r="76" ht="15" hidden="1" customHeight="1" x14ac:dyDescent="0.2"/>
    <row r="77" ht="14.25" hidden="1" customHeight="1" x14ac:dyDescent="0.2"/>
    <row r="79" ht="15" hidden="1" customHeight="1" x14ac:dyDescent="0.2"/>
    <row r="82" ht="13.5" hidden="1" customHeight="1" x14ac:dyDescent="0.2"/>
    <row r="84" ht="6" hidden="1" customHeight="1" x14ac:dyDescent="0.2"/>
  </sheetData>
  <sheetProtection algorithmName="SHA-512" hashValue="WSjjKHrdW/orHIFBYNhk5SwPfEAS06mm+AhWwnLnmE8DapeCTBDRc0ekkzvayN2IurjH4mQ1BH5vI+PPk5qObg==" saltValue="fanZ0VhO93pxBGjEAMcjWA==" spinCount="100000" sheet="1" selectLockedCells="1"/>
  <mergeCells count="45">
    <mergeCell ref="F6:J6"/>
    <mergeCell ref="L6:M6"/>
    <mergeCell ref="N6:P6"/>
    <mergeCell ref="B42:D42"/>
    <mergeCell ref="B28:D28"/>
    <mergeCell ref="H41:L41"/>
    <mergeCell ref="H35:O35"/>
    <mergeCell ref="B26:D26"/>
    <mergeCell ref="I29:K29"/>
    <mergeCell ref="B34:D34"/>
    <mergeCell ref="I30:K30"/>
    <mergeCell ref="I32:K32"/>
    <mergeCell ref="I31:K31"/>
    <mergeCell ref="B32:D32"/>
    <mergeCell ref="C15:D15"/>
    <mergeCell ref="C19:D19"/>
    <mergeCell ref="H52:L52"/>
    <mergeCell ref="H36:N37"/>
    <mergeCell ref="B37:D37"/>
    <mergeCell ref="O52:O53"/>
    <mergeCell ref="O41:O42"/>
    <mergeCell ref="B53:C53"/>
    <mergeCell ref="B52:E52"/>
    <mergeCell ref="B44:D44"/>
    <mergeCell ref="C17:D17"/>
    <mergeCell ref="C18:D18"/>
    <mergeCell ref="C16:D16"/>
    <mergeCell ref="I26:K26"/>
    <mergeCell ref="I27:K27"/>
    <mergeCell ref="A6:D6"/>
    <mergeCell ref="M2:P2"/>
    <mergeCell ref="E1:L4"/>
    <mergeCell ref="B55:C55"/>
    <mergeCell ref="B31:D31"/>
    <mergeCell ref="I28:K28"/>
    <mergeCell ref="B29:D29"/>
    <mergeCell ref="B27:D27"/>
    <mergeCell ref="I33:K33"/>
    <mergeCell ref="B36:D36"/>
    <mergeCell ref="B30:D30"/>
    <mergeCell ref="B33:D33"/>
    <mergeCell ref="B54:D54"/>
    <mergeCell ref="B43:D43"/>
    <mergeCell ref="B41:E41"/>
    <mergeCell ref="B35:D35"/>
  </mergeCells>
  <pageMargins left="0.25" right="0.25" top="0.75" bottom="0.75" header="0.3" footer="0.3"/>
  <pageSetup paperSize="9" scale="90" orientation="portrait" r:id="rId1"/>
  <drawing r:id="rId2"/>
  <legacyDrawing r:id="rId3"/>
  <oleObjects>
    <mc:AlternateContent xmlns:mc="http://schemas.openxmlformats.org/markup-compatibility/2006">
      <mc:Choice Requires="x14">
        <oleObject progId="Equation.3" shapeId="51202" r:id="rId4">
          <objectPr defaultSize="0" autoPict="0" r:id="rId5">
            <anchor moveWithCells="1">
              <from>
                <xdr:col>2</xdr:col>
                <xdr:colOff>95250</xdr:colOff>
                <xdr:row>21</xdr:row>
                <xdr:rowOff>76200</xdr:rowOff>
              </from>
              <to>
                <xdr:col>3</xdr:col>
                <xdr:colOff>657225</xdr:colOff>
                <xdr:row>23</xdr:row>
                <xdr:rowOff>152400</xdr:rowOff>
              </to>
            </anchor>
          </objectPr>
        </oleObject>
      </mc:Choice>
      <mc:Fallback>
        <oleObject progId="Equation.3" shapeId="51202"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U31"/>
  <sheetViews>
    <sheetView zoomScaleNormal="100" zoomScaleSheetLayoutView="100" workbookViewId="0">
      <selection activeCell="G21" sqref="G21"/>
    </sheetView>
  </sheetViews>
  <sheetFormatPr baseColWidth="10" defaultColWidth="0" defaultRowHeight="12.75" zeroHeight="1" x14ac:dyDescent="0.2"/>
  <cols>
    <col min="1" max="1" width="1.28515625" customWidth="1"/>
    <col min="2" max="2" width="14.42578125" customWidth="1"/>
    <col min="3" max="4" width="14.5703125" customWidth="1"/>
    <col min="5" max="5" width="11.7109375" customWidth="1"/>
    <col min="6" max="6" width="11.7109375" hidden="1" customWidth="1"/>
    <col min="7" max="9" width="11.7109375" customWidth="1"/>
    <col min="10" max="18" width="9.28515625" customWidth="1"/>
    <col min="19" max="19" width="14.5703125" customWidth="1"/>
    <col min="20" max="20" width="2.28515625" customWidth="1"/>
    <col min="21" max="21" width="2.7109375" hidden="1" customWidth="1"/>
    <col min="22" max="16384" width="8.85546875" hidden="1"/>
  </cols>
  <sheetData>
    <row r="1" spans="1:20" ht="23.25" x14ac:dyDescent="0.35">
      <c r="A1" s="24"/>
      <c r="B1" s="742"/>
      <c r="C1" s="742"/>
      <c r="D1" s="742"/>
      <c r="E1" s="742"/>
      <c r="F1" s="742"/>
      <c r="G1" s="742"/>
      <c r="H1" s="742"/>
      <c r="I1" s="742"/>
      <c r="J1" s="24"/>
      <c r="K1" s="24"/>
      <c r="L1" s="24"/>
      <c r="M1" s="24"/>
      <c r="N1" s="24"/>
      <c r="O1" s="24"/>
      <c r="P1" s="24"/>
      <c r="Q1" s="24"/>
      <c r="R1" s="24"/>
      <c r="S1" s="24"/>
      <c r="T1" s="24"/>
    </row>
    <row r="2" spans="1:20" ht="9" customHeight="1" x14ac:dyDescent="0.2">
      <c r="A2" s="24"/>
      <c r="B2" s="46"/>
      <c r="C2" s="46"/>
      <c r="D2" s="46"/>
      <c r="F2" s="24"/>
      <c r="G2" s="24"/>
      <c r="H2" s="24"/>
      <c r="I2" s="24"/>
      <c r="J2" s="24"/>
      <c r="K2" s="24"/>
      <c r="L2" s="24"/>
      <c r="M2" s="24"/>
      <c r="N2" s="24"/>
      <c r="O2" s="24"/>
      <c r="P2" s="24"/>
      <c r="Q2" s="24"/>
      <c r="R2" s="24"/>
      <c r="S2" s="24"/>
      <c r="T2" s="24"/>
    </row>
    <row r="3" spans="1:20" ht="8.25" customHeight="1" x14ac:dyDescent="0.2">
      <c r="A3" s="24"/>
      <c r="B3" s="46"/>
      <c r="C3" s="46"/>
      <c r="D3" s="24"/>
      <c r="E3" s="46"/>
      <c r="F3" s="24"/>
      <c r="G3" s="24"/>
      <c r="H3" s="24"/>
      <c r="I3" s="24"/>
      <c r="J3" s="24"/>
      <c r="K3" s="24"/>
      <c r="L3" s="24"/>
      <c r="M3" s="24"/>
      <c r="N3" s="24"/>
      <c r="O3" s="24"/>
      <c r="P3" s="24"/>
      <c r="Q3" s="24"/>
      <c r="R3" s="24"/>
      <c r="S3" s="24"/>
      <c r="T3" s="24"/>
    </row>
    <row r="4" spans="1:20" ht="12" customHeight="1" x14ac:dyDescent="0.2">
      <c r="A4" s="39"/>
      <c r="B4" s="39"/>
      <c r="C4" s="39"/>
      <c r="D4" s="26"/>
      <c r="E4" s="26"/>
      <c r="F4" s="26"/>
      <c r="G4" s="26"/>
      <c r="H4" s="26"/>
      <c r="I4" s="26"/>
      <c r="J4" s="39"/>
      <c r="K4" s="39"/>
      <c r="L4" s="39"/>
      <c r="M4" s="39"/>
      <c r="N4" s="39"/>
      <c r="O4" s="39"/>
      <c r="P4" s="39"/>
      <c r="Q4" s="39"/>
      <c r="R4" s="39"/>
      <c r="S4" s="39"/>
      <c r="T4" s="39"/>
    </row>
    <row r="5" spans="1:20" ht="18" customHeight="1" x14ac:dyDescent="0.2">
      <c r="A5" s="39"/>
      <c r="B5" s="568" t="str">
        <f>'Entry Form'!B6:D6</f>
        <v>Aircraft Registration Number</v>
      </c>
      <c r="C5" s="568"/>
      <c r="D5" s="459" t="str">
        <f>'Entry Form'!E6</f>
        <v>D-KPWZ</v>
      </c>
      <c r="E5" s="429" t="s">
        <v>369</v>
      </c>
      <c r="F5" s="39"/>
      <c r="G5" s="459" t="str">
        <f>'Entry Form'!K6</f>
        <v>3.MD132</v>
      </c>
      <c r="H5" s="429" t="s">
        <v>368</v>
      </c>
      <c r="I5" s="462"/>
      <c r="J5" s="39"/>
      <c r="K5" s="39"/>
      <c r="L5" s="39"/>
      <c r="M5" s="39"/>
      <c r="N5" s="39"/>
      <c r="O5" s="39"/>
      <c r="P5" s="39"/>
      <c r="Q5" s="39"/>
      <c r="R5" s="39"/>
      <c r="S5" s="39"/>
      <c r="T5" s="39"/>
    </row>
    <row r="6" spans="1:20" ht="39.75" customHeight="1" thickBot="1" x14ac:dyDescent="0.25">
      <c r="A6" s="39"/>
      <c r="B6" s="39"/>
      <c r="C6" s="39"/>
      <c r="D6" s="39"/>
      <c r="E6" s="39"/>
      <c r="F6" s="39"/>
      <c r="G6" s="39"/>
      <c r="H6" s="39"/>
      <c r="I6" s="39"/>
      <c r="J6" s="39"/>
      <c r="K6" s="39"/>
      <c r="L6" s="39"/>
      <c r="M6" s="39"/>
      <c r="N6" s="39"/>
      <c r="O6" s="39"/>
      <c r="P6" s="39"/>
      <c r="Q6" s="39"/>
      <c r="R6" s="39"/>
      <c r="S6" s="39"/>
      <c r="T6" s="39"/>
    </row>
    <row r="7" spans="1:20" ht="50.25" customHeight="1" thickBot="1" x14ac:dyDescent="0.25">
      <c r="A7" s="24"/>
      <c r="B7" s="470"/>
      <c r="C7" s="542" t="s">
        <v>26</v>
      </c>
      <c r="D7" s="635"/>
      <c r="E7" s="471" t="s">
        <v>44</v>
      </c>
      <c r="F7" s="471" t="s">
        <v>361</v>
      </c>
      <c r="G7" s="471" t="s">
        <v>43</v>
      </c>
      <c r="H7" s="471" t="s">
        <v>45</v>
      </c>
      <c r="I7" s="479" t="s">
        <v>46</v>
      </c>
      <c r="J7" s="24"/>
      <c r="K7" s="24"/>
      <c r="L7" s="24"/>
      <c r="M7" s="24"/>
      <c r="N7" s="24"/>
      <c r="O7" s="24"/>
      <c r="P7" s="24"/>
      <c r="Q7" s="24"/>
      <c r="R7" s="24"/>
      <c r="S7" s="24"/>
      <c r="T7" s="24"/>
    </row>
    <row r="8" spans="1:20" x14ac:dyDescent="0.2">
      <c r="A8" s="24"/>
      <c r="B8" s="460" t="str">
        <f>Config!A5</f>
        <v>Tot</v>
      </c>
      <c r="C8" s="749" t="s">
        <v>29</v>
      </c>
      <c r="D8" s="750"/>
      <c r="E8" s="469">
        <f>Config!C5</f>
        <v>400</v>
      </c>
      <c r="F8" s="483">
        <f>Config!D5</f>
        <v>588.95171149144255</v>
      </c>
      <c r="G8" s="485">
        <f>'W&amp;B Report Metric'!E42</f>
        <v>327.2</v>
      </c>
      <c r="H8" s="493">
        <f>G8</f>
        <v>327.2</v>
      </c>
      <c r="I8" s="490">
        <f>IFERROR(H8*F8/1000,"-")</f>
        <v>192.70500000000001</v>
      </c>
      <c r="J8" s="24"/>
      <c r="K8" s="24"/>
      <c r="L8" s="24"/>
      <c r="M8" s="24"/>
      <c r="N8" s="24"/>
      <c r="O8" s="24"/>
      <c r="P8" s="24"/>
      <c r="Q8" s="24"/>
      <c r="R8" s="24"/>
      <c r="S8" s="24"/>
      <c r="T8" s="24"/>
    </row>
    <row r="9" spans="1:20" x14ac:dyDescent="0.2">
      <c r="A9" s="24"/>
      <c r="B9" s="481" t="str">
        <f>Config!A7</f>
        <v>Pilot</v>
      </c>
      <c r="C9" s="751" t="str">
        <f>Config!B7</f>
        <v>Pilot + Parachute</v>
      </c>
      <c r="D9" s="752"/>
      <c r="E9" s="85">
        <f>Config!C7</f>
        <v>115</v>
      </c>
      <c r="F9" s="444">
        <f>Config!D7</f>
        <v>-645</v>
      </c>
      <c r="G9" s="486">
        <v>100</v>
      </c>
      <c r="H9" s="494">
        <f>G9</f>
        <v>100</v>
      </c>
      <c r="I9" s="491">
        <f>G9*F9/1000</f>
        <v>-64.5</v>
      </c>
      <c r="J9" s="24"/>
      <c r="K9" s="24"/>
      <c r="L9" s="24"/>
      <c r="M9" s="24"/>
      <c r="N9" s="24"/>
      <c r="O9" s="24"/>
      <c r="P9" s="24"/>
      <c r="Q9" s="24"/>
      <c r="R9" s="24"/>
      <c r="S9" s="24"/>
      <c r="T9" s="24"/>
    </row>
    <row r="10" spans="1:20" ht="13.5" hidden="1" customHeight="1" thickBot="1" x14ac:dyDescent="0.25">
      <c r="A10" s="24"/>
      <c r="B10" s="481" t="str">
        <f>Config!A8</f>
        <v>TailLB</v>
      </c>
      <c r="C10" s="482"/>
      <c r="D10" s="458" t="str">
        <f>Config!B8</f>
        <v>Tail Lead Ballast (Fixed)</v>
      </c>
      <c r="E10" s="463">
        <f>Config!C8</f>
        <v>5.6</v>
      </c>
      <c r="F10" s="444">
        <f>Config!D8</f>
        <v>4120.93</v>
      </c>
      <c r="G10" s="486"/>
      <c r="H10" s="494">
        <f>G10</f>
        <v>0</v>
      </c>
      <c r="I10" s="491">
        <f>G10*F10/1000</f>
        <v>0</v>
      </c>
      <c r="J10" s="24"/>
      <c r="K10" s="24"/>
      <c r="L10" s="24"/>
      <c r="M10" s="24"/>
      <c r="N10" s="24"/>
      <c r="O10" s="24"/>
      <c r="P10" s="24"/>
      <c r="Q10" s="24"/>
      <c r="R10" s="24"/>
      <c r="S10" s="24"/>
      <c r="T10" s="24"/>
    </row>
    <row r="11" spans="1:20" x14ac:dyDescent="0.2">
      <c r="A11" s="24"/>
      <c r="B11" s="481" t="str">
        <f>Config!A10</f>
        <v>WingM</v>
      </c>
      <c r="C11" s="753" t="s">
        <v>336</v>
      </c>
      <c r="D11" s="754"/>
      <c r="E11" s="85">
        <f>VLOOKUP(C11,Config!B10:C11,2,FALSE)</f>
        <v>132</v>
      </c>
      <c r="F11" s="444">
        <f>IF(E11=132, 0.0007*G11^2+0.3866*G11+149.55, IF(G11&lt;=1.674,153.465346534654*G11-55.7009900990091,-1.71511793130427E-10*G11^6+9.50302625981645E-08*G11^5-0.000020616514935014*G11^4+0.00226864992823323*G11^3-0.138637060615541*G11^2+4.57788786636922*G11+195.415953292905))</f>
        <v>149.55000000000001</v>
      </c>
      <c r="G11" s="486">
        <v>0</v>
      </c>
      <c r="H11" s="494">
        <f t="shared" ref="H11:H18" si="0">G11</f>
        <v>0</v>
      </c>
      <c r="I11" s="491">
        <f t="shared" ref="I11:I18" si="1">G11*F11/1000</f>
        <v>0</v>
      </c>
      <c r="J11" s="24"/>
      <c r="K11" s="24"/>
      <c r="L11" s="24"/>
      <c r="M11" s="24"/>
      <c r="N11" s="24"/>
      <c r="O11" s="24"/>
      <c r="P11" s="24"/>
      <c r="Q11" s="24"/>
      <c r="R11" s="24"/>
      <c r="S11" s="24"/>
      <c r="T11" s="24"/>
    </row>
    <row r="12" spans="1:20" x14ac:dyDescent="0.2">
      <c r="A12" s="24"/>
      <c r="B12" s="481" t="str">
        <f>Config!A13</f>
        <v>Tail1</v>
      </c>
      <c r="C12" s="751" t="str">
        <f>Config!B13</f>
        <v>Expendable tail tank</v>
      </c>
      <c r="D12" s="752"/>
      <c r="E12" s="468">
        <f>Config!C13</f>
        <v>5.8</v>
      </c>
      <c r="F12" s="444">
        <f>Config!D13</f>
        <v>4285</v>
      </c>
      <c r="G12" s="486">
        <v>0</v>
      </c>
      <c r="H12" s="494">
        <f t="shared" si="0"/>
        <v>0</v>
      </c>
      <c r="I12" s="491">
        <f t="shared" si="1"/>
        <v>0</v>
      </c>
      <c r="J12" s="24"/>
      <c r="K12" s="24"/>
      <c r="L12" s="24"/>
      <c r="M12" s="24"/>
      <c r="N12" s="24"/>
      <c r="O12" s="24"/>
      <c r="P12" s="24"/>
      <c r="Q12" s="24"/>
      <c r="R12" s="24"/>
      <c r="S12" s="24"/>
      <c r="T12" s="24"/>
    </row>
    <row r="13" spans="1:20" x14ac:dyDescent="0.2">
      <c r="A13" s="24"/>
      <c r="B13" s="481" t="str">
        <f>Config!A14</f>
        <v>Tail2</v>
      </c>
      <c r="C13" s="751" t="str">
        <f>Config!B14</f>
        <v>Non-expendable tail tank (bottom)</v>
      </c>
      <c r="D13" s="752"/>
      <c r="E13" s="85">
        <f>Config!C14</f>
        <v>5</v>
      </c>
      <c r="F13" s="444">
        <f>Config!D14</f>
        <v>4495</v>
      </c>
      <c r="G13" s="486">
        <v>0</v>
      </c>
      <c r="H13" s="494">
        <f t="shared" si="0"/>
        <v>0</v>
      </c>
      <c r="I13" s="491">
        <f t="shared" si="1"/>
        <v>0</v>
      </c>
      <c r="J13" s="24"/>
      <c r="K13" s="24"/>
      <c r="L13" s="24"/>
      <c r="M13" s="24"/>
      <c r="N13" s="24"/>
      <c r="O13" s="24"/>
      <c r="P13" s="24"/>
      <c r="Q13" s="24"/>
      <c r="R13" s="24"/>
      <c r="S13" s="24"/>
      <c r="T13" s="24"/>
    </row>
    <row r="14" spans="1:20" x14ac:dyDescent="0.2">
      <c r="A14" s="24"/>
      <c r="B14" s="481" t="str">
        <f>Config!A15</f>
        <v>Tail3</v>
      </c>
      <c r="C14" s="751" t="str">
        <f>Config!B15</f>
        <v>Non-expendable tail tank (top)</v>
      </c>
      <c r="D14" s="752"/>
      <c r="E14" s="85">
        <f>Config!C15</f>
        <v>3.9</v>
      </c>
      <c r="F14" s="444">
        <f>Config!D15</f>
        <v>4574</v>
      </c>
      <c r="G14" s="486">
        <v>0</v>
      </c>
      <c r="H14" s="494">
        <f t="shared" si="0"/>
        <v>0</v>
      </c>
      <c r="I14" s="491">
        <f t="shared" si="1"/>
        <v>0</v>
      </c>
      <c r="J14" s="24"/>
      <c r="K14" s="24"/>
      <c r="L14" s="24"/>
      <c r="M14" s="24"/>
      <c r="N14" s="24"/>
      <c r="O14" s="24"/>
      <c r="P14" s="24"/>
      <c r="Q14" s="24"/>
      <c r="R14" s="24"/>
      <c r="S14" s="24"/>
      <c r="T14" s="24"/>
    </row>
    <row r="15" spans="1:20" x14ac:dyDescent="0.2">
      <c r="A15" s="24"/>
      <c r="B15" s="481" t="str">
        <f>Config!A16</f>
        <v>NoseW</v>
      </c>
      <c r="C15" s="751" t="str">
        <f>Config!B16</f>
        <v>Nose weights in front of pedals</v>
      </c>
      <c r="D15" s="752"/>
      <c r="E15" s="85">
        <f>Config!C16</f>
        <v>12</v>
      </c>
      <c r="F15" s="444">
        <f>Config!D16</f>
        <v>-1782</v>
      </c>
      <c r="G15" s="486">
        <v>0</v>
      </c>
      <c r="H15" s="494">
        <f t="shared" si="0"/>
        <v>0</v>
      </c>
      <c r="I15" s="491">
        <f t="shared" si="1"/>
        <v>0</v>
      </c>
      <c r="J15" s="24"/>
      <c r="K15" s="24"/>
      <c r="L15" s="24"/>
      <c r="M15" s="24"/>
      <c r="N15" s="24"/>
      <c r="O15" s="24"/>
      <c r="P15" s="24"/>
      <c r="Q15" s="24"/>
      <c r="R15" s="24"/>
      <c r="S15" s="24"/>
      <c r="T15" s="24"/>
    </row>
    <row r="16" spans="1:20" ht="13.5" hidden="1" customHeight="1" x14ac:dyDescent="0.2">
      <c r="A16" s="24"/>
      <c r="B16" s="481" t="str">
        <f>Config!A21</f>
        <v>RES</v>
      </c>
      <c r="C16" s="751" t="str">
        <f>Config!B21</f>
        <v>Pylon Prop and motor retracted</v>
      </c>
      <c r="D16" s="752"/>
      <c r="E16" s="85">
        <f>Config!C21</f>
        <v>25.75</v>
      </c>
      <c r="F16" s="444">
        <f>Config!D21</f>
        <v>1248</v>
      </c>
      <c r="G16" s="486">
        <v>25.8</v>
      </c>
      <c r="H16" s="494">
        <f t="shared" si="0"/>
        <v>25.8</v>
      </c>
      <c r="I16" s="491">
        <f t="shared" si="1"/>
        <v>32.198399999999999</v>
      </c>
      <c r="J16" s="24"/>
      <c r="K16" s="24"/>
      <c r="L16" s="24"/>
      <c r="M16" s="24"/>
      <c r="N16" s="24"/>
      <c r="O16" s="24"/>
      <c r="P16" s="24"/>
      <c r="Q16" s="24"/>
      <c r="R16" s="24"/>
      <c r="S16" s="24"/>
      <c r="T16" s="24"/>
    </row>
    <row r="17" spans="1:20" ht="13.5" hidden="1" customHeight="1" x14ac:dyDescent="0.2">
      <c r="A17" s="24"/>
      <c r="B17" s="481" t="str">
        <f>Config!A22</f>
        <v>RES</v>
      </c>
      <c r="C17" s="751" t="str">
        <f>Config!B22</f>
        <v>Pylon Prop and motor extended</v>
      </c>
      <c r="D17" s="752"/>
      <c r="E17" s="85">
        <f>Config!C22</f>
        <v>25.75</v>
      </c>
      <c r="F17" s="444">
        <f>Config!D22</f>
        <v>998</v>
      </c>
      <c r="G17" s="486">
        <v>25.8</v>
      </c>
      <c r="H17" s="494">
        <f t="shared" si="0"/>
        <v>25.8</v>
      </c>
      <c r="I17" s="491">
        <f t="shared" si="1"/>
        <v>25.7484</v>
      </c>
      <c r="J17" s="24"/>
      <c r="K17" s="24"/>
      <c r="L17" s="24"/>
      <c r="M17" s="24"/>
      <c r="N17" s="24"/>
      <c r="O17" s="24"/>
      <c r="P17" s="24"/>
      <c r="Q17" s="24"/>
      <c r="R17" s="24"/>
      <c r="S17" s="24"/>
      <c r="T17" s="24"/>
    </row>
    <row r="18" spans="1:20" ht="13.5" hidden="1" customHeight="1" x14ac:dyDescent="0.2">
      <c r="A18" s="24"/>
      <c r="B18" s="481" t="str">
        <f>Config!A17</f>
        <v>TailB</v>
      </c>
      <c r="C18" s="751" t="str">
        <f>Config!B17</f>
        <v>Tail battery</v>
      </c>
      <c r="D18" s="752"/>
      <c r="E18" s="85">
        <f>Config!C17</f>
        <v>0</v>
      </c>
      <c r="F18" s="444">
        <f>Config!D17</f>
        <v>0</v>
      </c>
      <c r="G18" s="486">
        <v>0</v>
      </c>
      <c r="H18" s="494">
        <f t="shared" si="0"/>
        <v>0</v>
      </c>
      <c r="I18" s="491">
        <f t="shared" si="1"/>
        <v>0</v>
      </c>
      <c r="J18" s="24"/>
      <c r="K18" s="24"/>
      <c r="L18" s="24"/>
      <c r="M18" s="24"/>
      <c r="N18" s="24"/>
      <c r="O18" s="24"/>
      <c r="P18" s="24"/>
      <c r="Q18" s="24"/>
      <c r="R18" s="24"/>
      <c r="S18" s="24"/>
      <c r="T18" s="24"/>
    </row>
    <row r="19" spans="1:20" x14ac:dyDescent="0.2">
      <c r="A19" s="24"/>
      <c r="B19" s="481" t="str">
        <f>Config!A18</f>
        <v>Bag</v>
      </c>
      <c r="C19" s="751" t="str">
        <f>Config!B18</f>
        <v>Baggage compartment</v>
      </c>
      <c r="D19" s="752"/>
      <c r="E19" s="85">
        <f>Config!C18</f>
        <v>1</v>
      </c>
      <c r="F19" s="444">
        <f>Config!D18</f>
        <v>150</v>
      </c>
      <c r="G19" s="486">
        <v>0</v>
      </c>
      <c r="H19" s="494">
        <f>G19</f>
        <v>0</v>
      </c>
      <c r="I19" s="491">
        <f>G19*F19/1000</f>
        <v>0</v>
      </c>
      <c r="J19" s="24"/>
      <c r="K19" s="24"/>
      <c r="L19" s="24"/>
      <c r="M19" s="24"/>
      <c r="N19" s="24"/>
      <c r="O19" s="24"/>
      <c r="P19" s="24"/>
      <c r="Q19" s="24"/>
      <c r="R19" s="24"/>
      <c r="S19" s="24"/>
      <c r="T19" s="24"/>
    </row>
    <row r="20" spans="1:20" x14ac:dyDescent="0.2">
      <c r="A20" s="24"/>
      <c r="B20" s="481" t="str">
        <f>Config!A19</f>
        <v>O2</v>
      </c>
      <c r="C20" s="751" t="str">
        <f>Config!B19</f>
        <v>O2 bottle</v>
      </c>
      <c r="D20" s="752"/>
      <c r="E20" s="85">
        <f>Config!C19</f>
        <v>2</v>
      </c>
      <c r="F20" s="444">
        <f>Config!D19</f>
        <v>0</v>
      </c>
      <c r="G20" s="486">
        <v>0</v>
      </c>
      <c r="H20" s="494">
        <f>G20</f>
        <v>0</v>
      </c>
      <c r="I20" s="491">
        <f>G20*F20/1000</f>
        <v>0</v>
      </c>
      <c r="J20" s="24"/>
      <c r="K20" s="24"/>
      <c r="L20" s="24"/>
      <c r="M20" s="24"/>
      <c r="N20" s="24"/>
      <c r="O20" s="24"/>
      <c r="P20" s="24"/>
      <c r="Q20" s="24"/>
      <c r="R20" s="24"/>
      <c r="S20" s="24"/>
      <c r="T20" s="24"/>
    </row>
    <row r="21" spans="1:20" ht="15" customHeight="1" x14ac:dyDescent="0.2">
      <c r="A21" s="39"/>
      <c r="B21" s="481" t="str">
        <f>Config!A24</f>
        <v>Batt1</v>
      </c>
      <c r="C21" s="751" t="str">
        <f>Config!B24</f>
        <v>RES Batteries installed</v>
      </c>
      <c r="D21" s="752"/>
      <c r="E21" s="85">
        <f>Config!C24</f>
        <v>24.9</v>
      </c>
      <c r="F21" s="444">
        <f>Config!D24</f>
        <v>879.23909949265305</v>
      </c>
      <c r="G21" s="487">
        <v>0</v>
      </c>
      <c r="H21" s="494">
        <f>E21*G21</f>
        <v>0</v>
      </c>
      <c r="I21" s="491">
        <f>H21*F21/1000</f>
        <v>0</v>
      </c>
      <c r="J21" s="39"/>
      <c r="K21" s="39"/>
      <c r="L21" s="39"/>
      <c r="M21" s="39"/>
      <c r="N21" s="39"/>
      <c r="O21" s="39"/>
      <c r="P21" s="39"/>
      <c r="Q21" s="39"/>
      <c r="R21" s="39"/>
      <c r="S21" s="39"/>
      <c r="T21" s="39"/>
    </row>
    <row r="22" spans="1:20" ht="13.5" hidden="1" customHeight="1" thickBot="1" x14ac:dyDescent="0.25">
      <c r="A22" s="24"/>
      <c r="B22" s="480" t="str">
        <f>Config!A25</f>
        <v>Batt2</v>
      </c>
      <c r="C22" s="766" t="str">
        <f>Config!B25</f>
        <v>RES Battery 2</v>
      </c>
      <c r="D22" s="767"/>
      <c r="E22" s="237">
        <f>Config!C24</f>
        <v>24.9</v>
      </c>
      <c r="F22" s="484">
        <f>Config!D25</f>
        <v>879.23909949265305</v>
      </c>
      <c r="G22" s="488">
        <v>0</v>
      </c>
      <c r="H22" s="495">
        <f>G22</f>
        <v>0</v>
      </c>
      <c r="I22" s="492">
        <f>G22*F22/1000</f>
        <v>0</v>
      </c>
      <c r="J22" s="24"/>
      <c r="K22" s="24"/>
      <c r="L22" s="24"/>
      <c r="M22" s="24"/>
      <c r="N22" s="24"/>
      <c r="O22" s="24"/>
      <c r="P22" s="24"/>
      <c r="Q22" s="24"/>
      <c r="R22" s="24"/>
      <c r="S22" s="24"/>
      <c r="T22" s="24"/>
    </row>
    <row r="23" spans="1:20" ht="13.5" thickBot="1" x14ac:dyDescent="0.25">
      <c r="A23" s="24"/>
      <c r="B23" s="480" t="str">
        <f>Config!A28</f>
        <v>Cockpit</v>
      </c>
      <c r="C23" s="755" t="str">
        <f>Config!B28</f>
        <v>Cockpit Ballast (removable)</v>
      </c>
      <c r="D23" s="756"/>
      <c r="E23" s="237">
        <f>Config!C28</f>
        <v>20</v>
      </c>
      <c r="F23" s="484">
        <f>Config!D28</f>
        <v>-450</v>
      </c>
      <c r="G23" s="489">
        <v>0</v>
      </c>
      <c r="H23" s="495">
        <f>G23</f>
        <v>0</v>
      </c>
      <c r="I23" s="492">
        <f>G23*F23/1000</f>
        <v>0</v>
      </c>
      <c r="J23" s="24"/>
      <c r="K23" s="24"/>
      <c r="L23" s="24"/>
      <c r="M23" s="24"/>
      <c r="N23" s="24"/>
      <c r="O23" s="24"/>
      <c r="P23" s="24"/>
      <c r="Q23" s="24"/>
      <c r="R23" s="24"/>
      <c r="S23" s="24"/>
      <c r="T23" s="24"/>
    </row>
    <row r="24" spans="1:20" ht="12" customHeight="1" thickBot="1" x14ac:dyDescent="0.25">
      <c r="A24" s="24"/>
      <c r="B24" s="24"/>
      <c r="C24" s="24"/>
      <c r="D24" s="24"/>
      <c r="E24" s="24"/>
      <c r="F24" s="24"/>
      <c r="G24" s="47" t="s">
        <v>40</v>
      </c>
      <c r="H24" s="9">
        <f>SUM(H8:H23)-H17-H16</f>
        <v>427.2</v>
      </c>
      <c r="I24" s="9">
        <f>SUM(I8:I23)-I17-I16</f>
        <v>128.20500000000001</v>
      </c>
      <c r="J24" s="24"/>
      <c r="K24" s="24"/>
      <c r="L24" s="24"/>
      <c r="M24" s="24"/>
      <c r="N24" s="24"/>
      <c r="O24" s="24"/>
      <c r="P24" s="24"/>
      <c r="Q24" s="24"/>
      <c r="R24" s="24"/>
      <c r="S24" s="24"/>
      <c r="T24" s="24"/>
    </row>
    <row r="25" spans="1:20" ht="10.5" customHeight="1" thickBot="1" x14ac:dyDescent="0.25">
      <c r="A25" s="24"/>
      <c r="B25" s="24"/>
      <c r="C25" s="24"/>
      <c r="D25" s="24"/>
      <c r="E25" s="24"/>
      <c r="F25" s="24"/>
      <c r="G25" s="24"/>
      <c r="H25" s="24"/>
      <c r="I25" s="24"/>
      <c r="J25" s="24"/>
      <c r="K25" s="24"/>
      <c r="L25" s="24"/>
      <c r="M25" s="24"/>
      <c r="N25" s="24"/>
      <c r="O25" s="24"/>
      <c r="P25" s="24"/>
      <c r="Q25" s="24"/>
      <c r="R25" s="24"/>
      <c r="S25" s="24"/>
      <c r="T25" s="24"/>
    </row>
    <row r="26" spans="1:20" ht="40.5" thickBot="1" x14ac:dyDescent="0.25">
      <c r="A26" s="24"/>
      <c r="B26" s="743" t="s">
        <v>65</v>
      </c>
      <c r="C26" s="744"/>
      <c r="D26" s="745"/>
      <c r="E26" s="123" t="s">
        <v>66</v>
      </c>
      <c r="F26" s="69" t="str">
        <f>F7</f>
        <v>Arm
(mm)</v>
      </c>
      <c r="G26" s="124" t="s">
        <v>358</v>
      </c>
      <c r="H26" s="123" t="s">
        <v>71</v>
      </c>
      <c r="I26" s="122" t="s">
        <v>46</v>
      </c>
      <c r="J26" s="24"/>
      <c r="K26" s="24"/>
      <c r="L26" s="24"/>
      <c r="M26" s="24"/>
      <c r="N26" s="24"/>
      <c r="O26" s="24"/>
      <c r="P26" s="24"/>
      <c r="Q26" s="24"/>
      <c r="R26" s="24"/>
      <c r="S26" s="24"/>
      <c r="T26" s="24"/>
    </row>
    <row r="27" spans="1:20" x14ac:dyDescent="0.2">
      <c r="A27" s="24"/>
      <c r="B27" s="760" t="s">
        <v>352</v>
      </c>
      <c r="C27" s="761"/>
      <c r="D27" s="762"/>
      <c r="E27" s="435">
        <f>H24</f>
        <v>427.2</v>
      </c>
      <c r="F27" s="440"/>
      <c r="G27" s="435">
        <f>H24/8.71</f>
        <v>49.047072330654416</v>
      </c>
      <c r="H27" s="435">
        <f>I27/E27*1000</f>
        <v>300.1053370786517</v>
      </c>
      <c r="I27" s="436">
        <f>I24</f>
        <v>128.20500000000001</v>
      </c>
      <c r="J27" s="24"/>
      <c r="K27" s="24"/>
      <c r="L27" s="24"/>
      <c r="M27" s="24"/>
      <c r="N27" s="24"/>
      <c r="O27" s="24"/>
      <c r="P27" s="24"/>
      <c r="Q27" s="24"/>
      <c r="R27" s="24"/>
      <c r="S27" s="24"/>
      <c r="T27" s="24"/>
    </row>
    <row r="28" spans="1:20" ht="13.5" thickBot="1" x14ac:dyDescent="0.25">
      <c r="A28" s="24"/>
      <c r="B28" s="763" t="s">
        <v>351</v>
      </c>
      <c r="C28" s="764"/>
      <c r="D28" s="765"/>
      <c r="E28" s="437">
        <f>H24-H11-H12</f>
        <v>427.2</v>
      </c>
      <c r="F28" s="441"/>
      <c r="G28" s="437">
        <f>(H24-H12-H11)/8.71</f>
        <v>49.047072330654416</v>
      </c>
      <c r="H28" s="437">
        <f>I28/E28*1000</f>
        <v>300.1053370786517</v>
      </c>
      <c r="I28" s="438">
        <f>I24-I11-I12</f>
        <v>128.20500000000001</v>
      </c>
      <c r="J28" s="24"/>
      <c r="K28" s="24"/>
      <c r="L28" s="24"/>
      <c r="M28" s="24"/>
      <c r="N28" s="24"/>
      <c r="O28" s="24"/>
      <c r="P28" s="24"/>
      <c r="Q28" s="24"/>
      <c r="R28" s="24"/>
      <c r="S28" s="24"/>
      <c r="T28" s="24"/>
    </row>
    <row r="29" spans="1:20" x14ac:dyDescent="0.2">
      <c r="A29" s="24"/>
      <c r="B29" s="746" t="s">
        <v>360</v>
      </c>
      <c r="C29" s="747"/>
      <c r="D29" s="748"/>
      <c r="E29" s="435">
        <f>E27</f>
        <v>427.2</v>
      </c>
      <c r="F29" s="440"/>
      <c r="G29" s="435">
        <f>E29/8.71</f>
        <v>49.047072330654416</v>
      </c>
      <c r="H29" s="435">
        <f>I29/E29*1000</f>
        <v>285.0070224719102</v>
      </c>
      <c r="I29" s="439">
        <f>I24-I16+I17</f>
        <v>121.75500000000002</v>
      </c>
      <c r="J29" s="24"/>
      <c r="K29" s="24"/>
      <c r="L29" s="24"/>
      <c r="M29" s="24"/>
      <c r="N29" s="24"/>
      <c r="O29" s="24"/>
      <c r="P29" s="24"/>
      <c r="Q29" s="24"/>
      <c r="R29" s="24"/>
      <c r="S29" s="24"/>
      <c r="T29" s="24"/>
    </row>
    <row r="30" spans="1:20" ht="13.5" thickBot="1" x14ac:dyDescent="0.25">
      <c r="A30" s="24"/>
      <c r="B30" s="757" t="s">
        <v>207</v>
      </c>
      <c r="C30" s="758"/>
      <c r="D30" s="759"/>
      <c r="E30" s="437">
        <f>E28</f>
        <v>427.2</v>
      </c>
      <c r="F30" s="442"/>
      <c r="G30" s="437">
        <f>E30/8.71</f>
        <v>49.047072330654416</v>
      </c>
      <c r="H30" s="437">
        <f>I30/E30*1000</f>
        <v>285.0070224719102</v>
      </c>
      <c r="I30" s="438">
        <f>I28-I16+I17</f>
        <v>121.75500000000002</v>
      </c>
      <c r="J30" s="24"/>
      <c r="K30" s="24"/>
      <c r="L30" s="24"/>
      <c r="M30" s="24"/>
      <c r="N30" s="24"/>
      <c r="O30" s="24"/>
      <c r="P30" s="24"/>
      <c r="Q30" s="24"/>
      <c r="R30" s="24"/>
      <c r="S30" s="24"/>
      <c r="T30" s="24"/>
    </row>
    <row r="31" spans="1:20" x14ac:dyDescent="0.2">
      <c r="A31" s="24"/>
      <c r="B31" s="24"/>
      <c r="C31" s="24"/>
      <c r="D31" s="24"/>
      <c r="E31" s="24"/>
      <c r="F31" s="24"/>
      <c r="G31" s="24"/>
      <c r="H31" s="24"/>
      <c r="I31" s="24"/>
      <c r="J31" s="24"/>
      <c r="K31" s="24"/>
      <c r="L31" s="24"/>
      <c r="M31" s="24"/>
      <c r="N31" s="24"/>
      <c r="O31" s="24"/>
      <c r="P31" s="24"/>
      <c r="Q31" s="24"/>
      <c r="R31" s="24"/>
      <c r="S31" s="24"/>
      <c r="T31" s="24"/>
    </row>
  </sheetData>
  <sheetProtection password="CF2F" sheet="1" objects="1" scenarios="1" selectLockedCells="1"/>
  <mergeCells count="23">
    <mergeCell ref="B5:C5"/>
    <mergeCell ref="C15:D15"/>
    <mergeCell ref="C19:D19"/>
    <mergeCell ref="B30:D30"/>
    <mergeCell ref="B27:D27"/>
    <mergeCell ref="B28:D28"/>
    <mergeCell ref="C22:D22"/>
    <mergeCell ref="B1:I1"/>
    <mergeCell ref="B26:D26"/>
    <mergeCell ref="B29:D29"/>
    <mergeCell ref="C7:D7"/>
    <mergeCell ref="C8:D8"/>
    <mergeCell ref="C9:D9"/>
    <mergeCell ref="C11:D11"/>
    <mergeCell ref="C12:D12"/>
    <mergeCell ref="C13:D13"/>
    <mergeCell ref="C14:D14"/>
    <mergeCell ref="C20:D20"/>
    <mergeCell ref="C21:D21"/>
    <mergeCell ref="C23:D23"/>
    <mergeCell ref="C18:D18"/>
    <mergeCell ref="C17:D17"/>
    <mergeCell ref="C16:D16"/>
  </mergeCells>
  <conditionalFormatting sqref="H8:H23">
    <cfRule type="expression" dxfId="23" priority="2" stopIfTrue="1">
      <formula>H8&gt;E8</formula>
    </cfRule>
    <cfRule type="expression" dxfId="22" priority="3" stopIfTrue="1">
      <formula>H8&gt;0</formula>
    </cfRule>
  </conditionalFormatting>
  <conditionalFormatting sqref="H21">
    <cfRule type="expression" dxfId="21" priority="1" stopIfTrue="1">
      <formula>H21=E21*2</formula>
    </cfRule>
  </conditionalFormatting>
  <conditionalFormatting sqref="H24">
    <cfRule type="expression" dxfId="20" priority="29" stopIfTrue="1">
      <formula>$H$24&gt;525</formula>
    </cfRule>
  </conditionalFormatting>
  <conditionalFormatting sqref="I24 I27">
    <cfRule type="expression" dxfId="19" priority="4" stopIfTrue="1">
      <formula>$I$24*1000/$H$24&gt;390</formula>
    </cfRule>
    <cfRule type="expression" dxfId="18" priority="8" stopIfTrue="1">
      <formula>($H$24-38.141)/$I$24&lt;2.5641</formula>
    </cfRule>
  </conditionalFormatting>
  <conditionalFormatting sqref="I28">
    <cfRule type="expression" dxfId="17" priority="5" stopIfTrue="1">
      <formula>$I$28*1000/$E$28 &gt; 390</formula>
    </cfRule>
    <cfRule type="expression" dxfId="16" priority="9">
      <formula>($E$28-38.141)/$I$28&lt;2.5641</formula>
    </cfRule>
  </conditionalFormatting>
  <conditionalFormatting sqref="I29">
    <cfRule type="expression" dxfId="15" priority="6">
      <formula>$I$29*1000/$E$29 &gt; 390</formula>
    </cfRule>
    <cfRule type="expression" dxfId="14" priority="10" stopIfTrue="1">
      <formula>($E$29-38.141)/$I$29&lt;2.5641</formula>
    </cfRule>
  </conditionalFormatting>
  <conditionalFormatting sqref="I30">
    <cfRule type="expression" dxfId="13" priority="7" stopIfTrue="1">
      <formula>$I$30*1000/$E$30&gt; 390</formula>
    </cfRule>
    <cfRule type="expression" dxfId="12" priority="11">
      <formula>($E$30-38.141)/$I$30&lt;2.5641</formula>
    </cfRule>
  </conditionalFormatting>
  <dataValidations count="1">
    <dataValidation type="list" allowBlank="1" showInputMessage="1" showErrorMessage="1" sqref="G21" xr:uid="{00000000-0002-0000-0300-000000000000}">
      <formula1>"0,1,2"</formula1>
    </dataValidation>
  </dataValidations>
  <pageMargins left="0.25" right="0.25" top="0.75" bottom="0.75" header="0.3" footer="0.3"/>
  <pageSetup paperSize="9" scale="81" fitToHeight="0"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Config!$B$10:$B$11</xm:f>
          </x14:formula1>
          <xm:sqref>C11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U40"/>
  <sheetViews>
    <sheetView zoomScaleNormal="100" zoomScaleSheetLayoutView="100" workbookViewId="0">
      <selection activeCell="H11" sqref="H11"/>
    </sheetView>
  </sheetViews>
  <sheetFormatPr baseColWidth="10" defaultColWidth="0" defaultRowHeight="12.75" zeroHeight="1" x14ac:dyDescent="0.2"/>
  <cols>
    <col min="1" max="1" width="1.28515625" style="24" customWidth="1"/>
    <col min="2" max="2" width="9.28515625" customWidth="1"/>
    <col min="3" max="4" width="18.140625" customWidth="1"/>
    <col min="5" max="5" width="9.28515625" customWidth="1"/>
    <col min="6" max="7" width="9.28515625" hidden="1" customWidth="1"/>
    <col min="8" max="20" width="9.28515625" customWidth="1"/>
    <col min="21" max="21" width="4" hidden="1" customWidth="1"/>
  </cols>
  <sheetData>
    <row r="1" spans="2:21" ht="23.25" x14ac:dyDescent="0.35">
      <c r="B1" s="742"/>
      <c r="C1" s="742"/>
      <c r="D1" s="742"/>
      <c r="E1" s="742"/>
      <c r="F1" s="742"/>
      <c r="G1" s="742"/>
      <c r="H1" s="742"/>
      <c r="I1" s="742"/>
      <c r="J1" s="742"/>
      <c r="K1" s="24"/>
      <c r="L1" s="24"/>
      <c r="M1" s="24"/>
      <c r="N1" s="24"/>
      <c r="O1" s="24"/>
      <c r="P1" s="24"/>
      <c r="Q1" s="24"/>
      <c r="R1" s="24"/>
      <c r="S1" s="24"/>
      <c r="T1" s="24"/>
      <c r="U1" s="24"/>
    </row>
    <row r="2" spans="2:21" ht="10.5" customHeight="1" x14ac:dyDescent="0.2">
      <c r="B2" s="24"/>
      <c r="C2" s="24"/>
      <c r="D2" s="24"/>
      <c r="E2" s="24"/>
      <c r="F2" s="46"/>
      <c r="G2" s="46"/>
      <c r="H2" s="24"/>
      <c r="I2" s="24"/>
      <c r="J2" s="24"/>
      <c r="K2" s="24"/>
      <c r="L2" s="24"/>
      <c r="M2" s="24"/>
      <c r="N2" s="24"/>
      <c r="O2" s="24"/>
      <c r="P2" s="24"/>
      <c r="Q2" s="24"/>
      <c r="R2" s="24"/>
      <c r="S2" s="24"/>
      <c r="T2" s="24"/>
      <c r="U2" s="24"/>
    </row>
    <row r="3" spans="2:21" ht="7.5" customHeight="1" x14ac:dyDescent="0.2">
      <c r="B3" s="46"/>
      <c r="C3" s="46"/>
      <c r="D3" s="46"/>
      <c r="E3" s="46"/>
      <c r="F3" s="24"/>
      <c r="G3" s="24"/>
      <c r="H3" s="24"/>
      <c r="I3" s="24"/>
      <c r="J3" s="24"/>
      <c r="K3" s="24"/>
      <c r="L3" s="24"/>
      <c r="M3" s="24"/>
      <c r="N3" s="24"/>
      <c r="O3" s="24"/>
      <c r="P3" s="24"/>
      <c r="Q3" s="24"/>
      <c r="R3" s="24"/>
      <c r="S3" s="24"/>
      <c r="T3" s="24"/>
      <c r="U3" s="24"/>
    </row>
    <row r="4" spans="2:21" ht="6.75" customHeight="1" x14ac:dyDescent="0.2">
      <c r="B4" s="46"/>
      <c r="C4" s="46"/>
      <c r="D4" s="46"/>
      <c r="E4" s="46"/>
      <c r="F4" s="24"/>
      <c r="G4" s="24"/>
      <c r="H4" s="24"/>
      <c r="I4" s="24"/>
      <c r="J4" s="24"/>
      <c r="K4" s="24"/>
      <c r="L4" s="24"/>
      <c r="M4" s="24"/>
      <c r="N4" s="24"/>
      <c r="O4" s="24"/>
      <c r="P4" s="24"/>
      <c r="Q4" s="24"/>
      <c r="R4" s="24"/>
      <c r="S4" s="24"/>
      <c r="T4" s="24"/>
      <c r="U4" s="24"/>
    </row>
    <row r="5" spans="2:21" ht="18" customHeight="1" x14ac:dyDescent="0.2">
      <c r="B5" s="568" t="str">
        <f>'Entry Form'!B6:D6</f>
        <v>Aircraft Registration Number</v>
      </c>
      <c r="C5" s="568"/>
      <c r="D5" s="459" t="str">
        <f>'Entry Form'!E6</f>
        <v>D-KPWZ</v>
      </c>
      <c r="E5" s="429" t="s">
        <v>369</v>
      </c>
      <c r="G5" s="459" t="str">
        <f>'Entry Form'!K6</f>
        <v>3.MD132</v>
      </c>
      <c r="H5" s="429" t="s">
        <v>368</v>
      </c>
      <c r="I5" s="794"/>
      <c r="J5" s="795"/>
      <c r="K5" s="24"/>
      <c r="L5" s="24"/>
      <c r="M5" s="24"/>
      <c r="N5" s="24"/>
      <c r="O5" s="24"/>
      <c r="P5" s="24"/>
      <c r="Q5" s="24"/>
      <c r="R5" s="24"/>
      <c r="S5" s="24"/>
      <c r="T5" s="24"/>
      <c r="U5" s="24"/>
    </row>
    <row r="6" spans="2:21" ht="35.25" customHeight="1" thickBot="1" x14ac:dyDescent="0.25">
      <c r="B6" s="39"/>
      <c r="C6" s="39"/>
      <c r="D6" s="39"/>
      <c r="E6" s="39"/>
      <c r="F6" s="39"/>
      <c r="G6" s="39"/>
      <c r="H6" s="39"/>
      <c r="I6" s="39"/>
      <c r="J6" s="39"/>
      <c r="K6" s="24"/>
      <c r="L6" s="24"/>
      <c r="M6" s="24"/>
      <c r="N6" s="24"/>
      <c r="O6" s="24"/>
      <c r="P6" s="24"/>
      <c r="Q6" s="24"/>
      <c r="R6" s="24"/>
      <c r="S6" s="24"/>
      <c r="T6" s="24"/>
      <c r="U6" s="24"/>
    </row>
    <row r="7" spans="2:21" ht="50.25" customHeight="1" thickBot="1" x14ac:dyDescent="0.25">
      <c r="B7" s="470"/>
      <c r="C7" s="542" t="s">
        <v>26</v>
      </c>
      <c r="D7" s="635"/>
      <c r="E7" s="471" t="s">
        <v>44</v>
      </c>
      <c r="F7" s="69" t="s">
        <v>361</v>
      </c>
      <c r="G7" s="69" t="s">
        <v>362</v>
      </c>
      <c r="H7" s="69" t="s">
        <v>43</v>
      </c>
      <c r="I7" s="471" t="s">
        <v>45</v>
      </c>
      <c r="J7" s="479" t="s">
        <v>46</v>
      </c>
      <c r="K7" s="24"/>
      <c r="L7" s="24"/>
      <c r="M7" s="24"/>
      <c r="N7" s="24"/>
      <c r="O7" s="24"/>
      <c r="P7" s="24"/>
      <c r="Q7" s="24"/>
      <c r="R7" s="24"/>
      <c r="S7" s="24"/>
      <c r="T7" s="24"/>
      <c r="U7" s="24"/>
    </row>
    <row r="8" spans="2:21" x14ac:dyDescent="0.2">
      <c r="B8" s="460" t="str">
        <f>Config!A5</f>
        <v>Tot</v>
      </c>
      <c r="C8" s="749" t="s">
        <v>29</v>
      </c>
      <c r="D8" s="750"/>
      <c r="E8" s="469">
        <f>Config!C5</f>
        <v>400</v>
      </c>
      <c r="F8" s="472">
        <f>Config!D6</f>
        <v>581.5514316012725</v>
      </c>
      <c r="G8" s="507">
        <f>'W&amp;B Report Metric'!N32+'W&amp;B Report Metric'!N33</f>
        <v>178.17</v>
      </c>
      <c r="H8" s="93">
        <f>'W&amp;B Report Metric'!E53</f>
        <v>348.90999999999997</v>
      </c>
      <c r="I8" s="476">
        <f t="shared" ref="I8:I20" si="0">H8</f>
        <v>348.90999999999997</v>
      </c>
      <c r="J8" s="66">
        <f>IFERROR(H8*F8/1000,"-")</f>
        <v>202.90910999999997</v>
      </c>
      <c r="K8" s="24"/>
      <c r="L8" s="24"/>
      <c r="M8" s="24"/>
      <c r="N8" s="24"/>
      <c r="O8" s="24"/>
      <c r="P8" s="24"/>
      <c r="Q8" s="24"/>
      <c r="R8" s="24"/>
      <c r="S8" s="24"/>
      <c r="T8" s="24"/>
      <c r="U8" s="24"/>
    </row>
    <row r="9" spans="2:21" x14ac:dyDescent="0.2">
      <c r="B9" s="87" t="str">
        <f>Config!A7</f>
        <v>Pilot</v>
      </c>
      <c r="C9" s="777" t="str">
        <f>Config!B7</f>
        <v>Pilot + Parachute</v>
      </c>
      <c r="D9" s="778"/>
      <c r="E9" s="85">
        <f>Config!C7</f>
        <v>115</v>
      </c>
      <c r="F9" s="443">
        <f>Config!D7</f>
        <v>-645</v>
      </c>
      <c r="G9" s="508">
        <v>0</v>
      </c>
      <c r="H9" s="8">
        <v>100</v>
      </c>
      <c r="I9" s="477">
        <f>H9</f>
        <v>100</v>
      </c>
      <c r="J9" s="67">
        <f t="shared" ref="J9:J20" si="1">H9*F9/1000</f>
        <v>-64.5</v>
      </c>
      <c r="K9" s="24"/>
      <c r="L9" s="24"/>
      <c r="M9" s="24"/>
      <c r="N9" s="24"/>
      <c r="O9" s="24"/>
      <c r="P9" s="24"/>
      <c r="Q9" s="24"/>
      <c r="R9" s="24"/>
      <c r="S9" s="24"/>
      <c r="T9" s="24"/>
      <c r="U9" s="24"/>
    </row>
    <row r="10" spans="2:21" hidden="1" x14ac:dyDescent="0.2">
      <c r="B10" s="87" t="str">
        <f>Config!A8</f>
        <v>TailLB</v>
      </c>
      <c r="C10" s="461"/>
      <c r="D10" s="86" t="str">
        <f>Config!B8</f>
        <v>Tail Lead Ballast (Fixed)</v>
      </c>
      <c r="E10" s="85">
        <f>Config!C8</f>
        <v>5.6</v>
      </c>
      <c r="F10" s="443">
        <f>Config!D8</f>
        <v>4120.93</v>
      </c>
      <c r="G10" s="508">
        <f>I10*Config!E8</f>
        <v>0</v>
      </c>
      <c r="H10" s="8"/>
      <c r="I10" s="477">
        <f t="shared" si="0"/>
        <v>0</v>
      </c>
      <c r="J10" s="67">
        <f t="shared" si="1"/>
        <v>0</v>
      </c>
      <c r="K10" s="24"/>
      <c r="L10" s="24"/>
      <c r="M10" s="24"/>
      <c r="N10" s="24"/>
      <c r="O10" s="24"/>
      <c r="P10" s="24"/>
      <c r="Q10" s="24"/>
      <c r="R10" s="24"/>
      <c r="S10" s="24"/>
      <c r="T10" s="24"/>
      <c r="U10" s="24"/>
    </row>
    <row r="11" spans="2:21" x14ac:dyDescent="0.2">
      <c r="B11" s="87" t="str">
        <f>Config!A10</f>
        <v>WingM</v>
      </c>
      <c r="C11" s="792" t="s">
        <v>337</v>
      </c>
      <c r="D11" s="793"/>
      <c r="E11" s="85">
        <f>VLOOKUP(C11,Config!B10:C11,2,FALSE)</f>
        <v>156</v>
      </c>
      <c r="F11" s="443">
        <f>IF(E11=132, 0.0007*H11^2+0.3866*H11+149.55, IF(H11&lt;=1.674,153.465346534654*H11-55.7009900990091,-1.71511793130427E-10*H11^6+9.50302625981645E-08*H11^5-0.000020616514935014*H11^4+0.00226864992823323*H11^3-0.138637060615541*H11^2+4.57788786636922*H11+195.415953292905))</f>
        <v>-55.700990099009097</v>
      </c>
      <c r="G11" s="508">
        <f>I11*Config!E10</f>
        <v>0</v>
      </c>
      <c r="H11" s="8">
        <v>0</v>
      </c>
      <c r="I11" s="477">
        <f>H11</f>
        <v>0</v>
      </c>
      <c r="J11" s="67">
        <f t="shared" si="1"/>
        <v>0</v>
      </c>
      <c r="K11" s="24"/>
      <c r="L11" s="24"/>
      <c r="M11" s="24"/>
      <c r="N11" s="24"/>
      <c r="O11" s="24"/>
      <c r="P11" s="24"/>
      <c r="Q11" s="24"/>
      <c r="R11" s="24"/>
      <c r="S11" s="24"/>
      <c r="T11" s="24"/>
      <c r="U11" s="24"/>
    </row>
    <row r="12" spans="2:21" x14ac:dyDescent="0.2">
      <c r="B12" s="87" t="str">
        <f>Config!A12</f>
        <v>H2O Tips</v>
      </c>
      <c r="C12" s="777" t="str">
        <f>Config!B12</f>
        <v>Water ballast tips</v>
      </c>
      <c r="D12" s="778"/>
      <c r="E12" s="85">
        <f>Config!C12</f>
        <v>34</v>
      </c>
      <c r="F12" s="443">
        <f>Config!D12</f>
        <v>480</v>
      </c>
      <c r="G12" s="508">
        <f>I12*Config!E11</f>
        <v>0</v>
      </c>
      <c r="H12" s="8">
        <v>0</v>
      </c>
      <c r="I12" s="477">
        <f t="shared" si="0"/>
        <v>0</v>
      </c>
      <c r="J12" s="67">
        <f t="shared" si="1"/>
        <v>0</v>
      </c>
      <c r="K12" s="24"/>
      <c r="L12" s="24"/>
      <c r="M12" s="24"/>
      <c r="N12" s="24"/>
      <c r="O12" s="24"/>
      <c r="P12" s="24"/>
      <c r="Q12" s="24"/>
      <c r="R12" s="24"/>
      <c r="S12" s="24"/>
      <c r="T12" s="24"/>
      <c r="U12" s="24"/>
    </row>
    <row r="13" spans="2:21" x14ac:dyDescent="0.2">
      <c r="B13" s="87" t="str">
        <f>Config!A13</f>
        <v>Tail1</v>
      </c>
      <c r="C13" s="777" t="str">
        <f>Config!B13</f>
        <v>Expendable tail tank</v>
      </c>
      <c r="D13" s="778"/>
      <c r="E13" s="85">
        <f>Config!C13</f>
        <v>5.8</v>
      </c>
      <c r="F13" s="443">
        <f>Config!D13</f>
        <v>4285</v>
      </c>
      <c r="G13" s="508">
        <f>I13*Config!E12</f>
        <v>0</v>
      </c>
      <c r="H13" s="8">
        <v>0</v>
      </c>
      <c r="I13" s="477">
        <f t="shared" si="0"/>
        <v>0</v>
      </c>
      <c r="J13" s="67">
        <f t="shared" si="1"/>
        <v>0</v>
      </c>
      <c r="K13" s="24"/>
      <c r="L13" s="24"/>
      <c r="M13" s="24"/>
      <c r="N13" s="24"/>
      <c r="O13" s="24"/>
      <c r="P13" s="24"/>
      <c r="Q13" s="24"/>
      <c r="R13" s="24"/>
      <c r="S13" s="24"/>
      <c r="T13" s="24"/>
      <c r="U13" s="24"/>
    </row>
    <row r="14" spans="2:21" x14ac:dyDescent="0.2">
      <c r="B14" s="87" t="str">
        <f>Config!A14</f>
        <v>Tail2</v>
      </c>
      <c r="C14" s="777" t="str">
        <f>Config!B14</f>
        <v>Non-expendable tail tank (bottom)</v>
      </c>
      <c r="D14" s="778"/>
      <c r="E14" s="85">
        <f>Config!C14</f>
        <v>5</v>
      </c>
      <c r="F14" s="443">
        <f>Config!D14</f>
        <v>4495</v>
      </c>
      <c r="G14" s="508">
        <f>I14*Config!E13</f>
        <v>0</v>
      </c>
      <c r="H14" s="8">
        <v>0</v>
      </c>
      <c r="I14" s="477">
        <f t="shared" si="0"/>
        <v>0</v>
      </c>
      <c r="J14" s="67">
        <f t="shared" si="1"/>
        <v>0</v>
      </c>
      <c r="K14" s="24"/>
      <c r="L14" s="24"/>
      <c r="M14" s="24"/>
      <c r="N14" s="24"/>
      <c r="O14" s="24"/>
      <c r="P14" s="24"/>
      <c r="Q14" s="24"/>
      <c r="R14" s="24"/>
      <c r="S14" s="24"/>
      <c r="T14" s="24"/>
      <c r="U14" s="24"/>
    </row>
    <row r="15" spans="2:21" x14ac:dyDescent="0.2">
      <c r="B15" s="87" t="str">
        <f>Config!A15</f>
        <v>Tail3</v>
      </c>
      <c r="C15" s="777" t="str">
        <f>Config!B15</f>
        <v>Non-expendable tail tank (top)</v>
      </c>
      <c r="D15" s="778"/>
      <c r="E15" s="85">
        <f>Config!C15</f>
        <v>3.9</v>
      </c>
      <c r="F15" s="443">
        <f>Config!D15</f>
        <v>4574</v>
      </c>
      <c r="G15" s="508">
        <f>I15*Config!E14</f>
        <v>0</v>
      </c>
      <c r="H15" s="8">
        <v>0</v>
      </c>
      <c r="I15" s="477">
        <f t="shared" si="0"/>
        <v>0</v>
      </c>
      <c r="J15" s="67">
        <f t="shared" si="1"/>
        <v>0</v>
      </c>
      <c r="K15" s="24"/>
      <c r="L15" s="24"/>
      <c r="M15" s="24"/>
      <c r="N15" s="24"/>
      <c r="O15" s="24"/>
      <c r="P15" s="24"/>
      <c r="Q15" s="24"/>
      <c r="R15" s="24"/>
      <c r="S15" s="24"/>
      <c r="T15" s="24"/>
      <c r="U15" s="24"/>
    </row>
    <row r="16" spans="2:21" x14ac:dyDescent="0.2">
      <c r="B16" s="87" t="str">
        <f>Config!A16</f>
        <v>NoseW</v>
      </c>
      <c r="C16" s="777" t="str">
        <f>Config!B16</f>
        <v>Nose weights in front of pedals</v>
      </c>
      <c r="D16" s="778"/>
      <c r="E16" s="85">
        <f>Config!C16</f>
        <v>12</v>
      </c>
      <c r="F16" s="443">
        <f>Config!D16</f>
        <v>-1782</v>
      </c>
      <c r="G16" s="508">
        <f>I16*Config!E14</f>
        <v>0</v>
      </c>
      <c r="H16" s="8">
        <v>0</v>
      </c>
      <c r="I16" s="477">
        <f t="shared" si="0"/>
        <v>0</v>
      </c>
      <c r="J16" s="67">
        <f t="shared" si="1"/>
        <v>0</v>
      </c>
      <c r="K16" s="24"/>
      <c r="L16" s="24"/>
      <c r="M16" s="24"/>
      <c r="N16" s="24"/>
      <c r="O16" s="24"/>
      <c r="P16" s="24"/>
      <c r="Q16" s="24"/>
      <c r="R16" s="24"/>
      <c r="S16" s="24"/>
      <c r="T16" s="24"/>
      <c r="U16" s="24"/>
    </row>
    <row r="17" spans="2:21" hidden="1" x14ac:dyDescent="0.2">
      <c r="B17" s="87" t="str">
        <f>Config!A21</f>
        <v>RES</v>
      </c>
      <c r="C17" s="777" t="str">
        <f>Config!B21</f>
        <v>Pylon Prop and motor retracted</v>
      </c>
      <c r="D17" s="778"/>
      <c r="E17" s="85">
        <f>Config!C21</f>
        <v>25.75</v>
      </c>
      <c r="F17" s="443">
        <f>Config!D21</f>
        <v>1248</v>
      </c>
      <c r="G17" s="508">
        <f>I17*Config!E20</f>
        <v>25.75</v>
      </c>
      <c r="H17" s="8">
        <f>E17</f>
        <v>25.75</v>
      </c>
      <c r="I17" s="477">
        <f>H17</f>
        <v>25.75</v>
      </c>
      <c r="J17" s="67">
        <f t="shared" si="1"/>
        <v>32.136000000000003</v>
      </c>
      <c r="K17" s="24"/>
      <c r="L17" s="24"/>
      <c r="M17" s="24"/>
      <c r="N17" s="24"/>
      <c r="O17" s="24"/>
      <c r="P17" s="24"/>
      <c r="Q17" s="24"/>
      <c r="R17" s="24"/>
      <c r="S17" s="24"/>
      <c r="T17" s="24"/>
      <c r="U17" s="24"/>
    </row>
    <row r="18" spans="2:21" hidden="1" x14ac:dyDescent="0.2">
      <c r="B18" s="87" t="str">
        <f>Config!A22</f>
        <v>RES</v>
      </c>
      <c r="C18" s="777" t="str">
        <f>Config!B22</f>
        <v>Pylon Prop and motor extended</v>
      </c>
      <c r="D18" s="778"/>
      <c r="E18" s="85">
        <f>Config!C22</f>
        <v>25.75</v>
      </c>
      <c r="F18" s="443">
        <f>Config!D22</f>
        <v>998</v>
      </c>
      <c r="G18" s="508">
        <f>I18*Config!E21</f>
        <v>25.75</v>
      </c>
      <c r="H18" s="8">
        <f>E18</f>
        <v>25.75</v>
      </c>
      <c r="I18" s="477">
        <f>H18</f>
        <v>25.75</v>
      </c>
      <c r="J18" s="67">
        <f t="shared" si="1"/>
        <v>25.698499999999999</v>
      </c>
      <c r="K18" s="24"/>
      <c r="L18" s="24"/>
      <c r="M18" s="24"/>
      <c r="N18" s="24"/>
      <c r="O18" s="24"/>
      <c r="P18" s="24"/>
      <c r="Q18" s="24"/>
      <c r="R18" s="24"/>
      <c r="S18" s="24"/>
      <c r="T18" s="24"/>
      <c r="U18" s="24"/>
    </row>
    <row r="19" spans="2:21" x14ac:dyDescent="0.2">
      <c r="B19" s="87" t="str">
        <f>Config!A18</f>
        <v>Bag</v>
      </c>
      <c r="C19" s="777" t="str">
        <f>Config!B18</f>
        <v>Baggage compartment</v>
      </c>
      <c r="D19" s="778"/>
      <c r="E19" s="85">
        <f>Config!C18</f>
        <v>1</v>
      </c>
      <c r="F19" s="464">
        <f>Config!D18</f>
        <v>150</v>
      </c>
      <c r="G19" s="509">
        <f>I19*Config!E17</f>
        <v>0</v>
      </c>
      <c r="H19" s="465">
        <v>0</v>
      </c>
      <c r="I19" s="477">
        <f t="shared" si="0"/>
        <v>0</v>
      </c>
      <c r="J19" s="67">
        <f t="shared" si="1"/>
        <v>0</v>
      </c>
      <c r="K19" s="24"/>
      <c r="L19" s="24"/>
      <c r="M19" s="24"/>
      <c r="N19" s="24"/>
      <c r="O19" s="24"/>
      <c r="P19" s="24"/>
      <c r="Q19" s="24"/>
      <c r="R19" s="24"/>
      <c r="S19" s="24"/>
      <c r="T19" s="24"/>
      <c r="U19" s="24"/>
    </row>
    <row r="20" spans="2:21" x14ac:dyDescent="0.2">
      <c r="B20" s="87" t="str">
        <f>Config!A19</f>
        <v>O2</v>
      </c>
      <c r="C20" s="777" t="str">
        <f>Config!B19</f>
        <v>O2 bottle</v>
      </c>
      <c r="D20" s="778"/>
      <c r="E20" s="85">
        <f>Config!C19</f>
        <v>2</v>
      </c>
      <c r="F20" s="467">
        <f>Config!D19</f>
        <v>0</v>
      </c>
      <c r="G20" s="510">
        <f>I20*Config!E18</f>
        <v>0</v>
      </c>
      <c r="H20" s="475">
        <v>0</v>
      </c>
      <c r="I20" s="477">
        <f t="shared" si="0"/>
        <v>0</v>
      </c>
      <c r="J20" s="67">
        <f t="shared" si="1"/>
        <v>0</v>
      </c>
      <c r="K20" s="24"/>
      <c r="L20" s="24"/>
      <c r="M20" s="24"/>
      <c r="N20" s="24"/>
      <c r="O20" s="24"/>
      <c r="P20" s="24"/>
      <c r="Q20" s="24"/>
      <c r="R20" s="24"/>
      <c r="S20" s="24"/>
      <c r="T20" s="24"/>
      <c r="U20" s="24"/>
    </row>
    <row r="21" spans="2:21" x14ac:dyDescent="0.2">
      <c r="B21" s="87" t="str">
        <f>Config!A24</f>
        <v>Batt1</v>
      </c>
      <c r="C21" s="777" t="str">
        <f>Config!B24</f>
        <v>RES Batteries installed</v>
      </c>
      <c r="D21" s="778"/>
      <c r="E21" s="85">
        <f>Config!C24</f>
        <v>24.9</v>
      </c>
      <c r="F21" s="473">
        <f>Config!D24</f>
        <v>879.23909949265305</v>
      </c>
      <c r="G21" s="511">
        <f>I21*Config!E23</f>
        <v>0</v>
      </c>
      <c r="H21" s="466">
        <v>0</v>
      </c>
      <c r="I21" s="477">
        <f>E21*H21</f>
        <v>0</v>
      </c>
      <c r="J21" s="67">
        <f>I21*F21/1000</f>
        <v>0</v>
      </c>
      <c r="K21" s="24"/>
      <c r="L21" s="24"/>
      <c r="M21" s="24"/>
      <c r="N21" s="24"/>
      <c r="O21" s="24"/>
      <c r="P21" s="24"/>
      <c r="Q21" s="24"/>
      <c r="R21" s="24"/>
      <c r="S21" s="24"/>
      <c r="T21" s="24"/>
      <c r="U21" s="24"/>
    </row>
    <row r="22" spans="2:21" ht="13.5" hidden="1" thickBot="1" x14ac:dyDescent="0.25">
      <c r="B22" s="88" t="str">
        <f>Config!A25</f>
        <v>Batt2</v>
      </c>
      <c r="C22" s="779" t="str">
        <f>Config!B25</f>
        <v>RES Battery 2</v>
      </c>
      <c r="D22" s="780"/>
      <c r="E22" s="89">
        <f>Config!C25</f>
        <v>24.9</v>
      </c>
      <c r="F22" s="474">
        <f>Config!D25</f>
        <v>879.23909949265305</v>
      </c>
      <c r="G22" s="512">
        <f>I22*Config!E23</f>
        <v>0</v>
      </c>
      <c r="H22" s="8">
        <v>0</v>
      </c>
      <c r="I22" s="478">
        <f>H22</f>
        <v>0</v>
      </c>
      <c r="J22" s="68">
        <f>H22*F22/1000</f>
        <v>0</v>
      </c>
      <c r="K22" s="24"/>
      <c r="L22" s="24"/>
      <c r="M22" s="24"/>
      <c r="N22" s="24"/>
      <c r="O22" s="24"/>
      <c r="P22" s="24"/>
      <c r="Q22" s="24"/>
      <c r="R22" s="24"/>
      <c r="S22" s="24"/>
      <c r="T22" s="24"/>
      <c r="U22" s="24"/>
    </row>
    <row r="23" spans="2:21" ht="13.5" thickBot="1" x14ac:dyDescent="0.25">
      <c r="B23" s="88" t="str">
        <f>Config!A28</f>
        <v>Cockpit</v>
      </c>
      <c r="C23" s="787" t="str">
        <f>Config!B28</f>
        <v>Cockpit Ballast (removable)</v>
      </c>
      <c r="D23" s="788"/>
      <c r="E23" s="89">
        <f>Config!C28</f>
        <v>20</v>
      </c>
      <c r="F23" s="474">
        <f>Config!D28</f>
        <v>-450</v>
      </c>
      <c r="G23" s="512">
        <f>I23*Config!E29</f>
        <v>0</v>
      </c>
      <c r="H23" s="10">
        <v>0</v>
      </c>
      <c r="I23" s="478">
        <f>H23</f>
        <v>0</v>
      </c>
      <c r="J23" s="68">
        <f>H23*F23/1000</f>
        <v>0</v>
      </c>
      <c r="K23" s="24"/>
      <c r="L23" s="24"/>
      <c r="M23" s="24"/>
      <c r="N23" s="24"/>
      <c r="O23" s="24"/>
      <c r="P23" s="24"/>
      <c r="Q23" s="24"/>
      <c r="R23" s="24"/>
      <c r="S23" s="24"/>
      <c r="T23" s="24"/>
      <c r="U23" s="24"/>
    </row>
    <row r="24" spans="2:21" ht="13.5" thickBot="1" x14ac:dyDescent="0.25">
      <c r="B24" s="789" t="s">
        <v>359</v>
      </c>
      <c r="C24" s="790"/>
      <c r="D24" s="790"/>
      <c r="E24" s="791"/>
      <c r="F24" s="83" t="s">
        <v>40</v>
      </c>
      <c r="G24" s="84">
        <f>G8+G9+G13+G14+G16+G19+G20+G21</f>
        <v>178.17</v>
      </c>
      <c r="H24" s="83" t="s">
        <v>40</v>
      </c>
      <c r="I24" s="84">
        <f>SUM(I8:I23)-I18-I17</f>
        <v>448.90999999999997</v>
      </c>
      <c r="J24" s="84">
        <f>SUM(J8:J23)-J18-J17</f>
        <v>138.40910999999997</v>
      </c>
      <c r="K24" s="24"/>
      <c r="L24" s="24"/>
      <c r="M24" s="24"/>
      <c r="N24" s="24"/>
      <c r="O24" s="24"/>
      <c r="P24" s="24"/>
      <c r="Q24" s="24"/>
      <c r="R24" s="24"/>
      <c r="S24" s="24"/>
      <c r="T24" s="24"/>
      <c r="U24" s="24"/>
    </row>
    <row r="25" spans="2:21" ht="12.75" customHeight="1" thickBot="1" x14ac:dyDescent="0.25">
      <c r="B25" s="79"/>
      <c r="C25" s="79"/>
      <c r="D25" s="79"/>
      <c r="E25" s="80"/>
      <c r="F25" s="80"/>
      <c r="G25" s="80"/>
      <c r="H25" s="81"/>
      <c r="I25" s="82"/>
      <c r="J25" s="82"/>
      <c r="K25" s="24"/>
      <c r="L25" s="24"/>
      <c r="M25" s="24"/>
      <c r="N25" s="24"/>
      <c r="O25" s="24"/>
      <c r="P25" s="24"/>
      <c r="Q25" s="24"/>
      <c r="R25" s="24"/>
      <c r="S25" s="24"/>
      <c r="T25" s="24"/>
      <c r="U25" s="24"/>
    </row>
    <row r="26" spans="2:21" ht="51.75" thickBot="1" x14ac:dyDescent="0.25">
      <c r="B26" s="784" t="s">
        <v>65</v>
      </c>
      <c r="C26" s="785"/>
      <c r="D26" s="786"/>
      <c r="E26" s="496" t="s">
        <v>66</v>
      </c>
      <c r="F26" s="497" t="str">
        <f>F7</f>
        <v>Arm
(mm)</v>
      </c>
      <c r="G26" s="497" t="str">
        <f>G7</f>
        <v>NLW
(kg)</v>
      </c>
      <c r="H26" s="498" t="s">
        <v>358</v>
      </c>
      <c r="I26" s="496" t="s">
        <v>71</v>
      </c>
      <c r="J26" s="499" t="s">
        <v>46</v>
      </c>
      <c r="K26" s="24"/>
      <c r="L26" s="24"/>
      <c r="M26" s="24"/>
      <c r="N26" s="24"/>
      <c r="O26" s="24"/>
      <c r="P26" s="24"/>
      <c r="Q26" s="24"/>
      <c r="R26" s="24"/>
      <c r="S26" s="24"/>
      <c r="T26" s="24"/>
      <c r="U26" s="24"/>
    </row>
    <row r="27" spans="2:21" x14ac:dyDescent="0.2">
      <c r="B27" s="771" t="s">
        <v>352</v>
      </c>
      <c r="C27" s="772"/>
      <c r="D27" s="773"/>
      <c r="E27" s="500">
        <f>I24</f>
        <v>448.90999999999997</v>
      </c>
      <c r="F27" s="500"/>
      <c r="G27" s="500"/>
      <c r="H27" s="501">
        <f>I24/9.87</f>
        <v>45.4822695035461</v>
      </c>
      <c r="I27" s="500">
        <f>J27/E27*1000</f>
        <v>308.32262591610788</v>
      </c>
      <c r="J27" s="502">
        <f>J24</f>
        <v>138.40910999999997</v>
      </c>
      <c r="K27" s="24"/>
      <c r="L27" s="24"/>
      <c r="M27" s="24"/>
      <c r="N27" s="24"/>
      <c r="O27" s="24"/>
      <c r="P27" s="24"/>
      <c r="Q27" s="24"/>
      <c r="R27" s="24"/>
      <c r="S27" s="24"/>
      <c r="T27" s="24"/>
      <c r="U27" s="24"/>
    </row>
    <row r="28" spans="2:21" ht="13.5" thickBot="1" x14ac:dyDescent="0.25">
      <c r="B28" s="774" t="s">
        <v>351</v>
      </c>
      <c r="C28" s="775"/>
      <c r="D28" s="776"/>
      <c r="E28" s="503">
        <f>I24-I13-I11-I12</f>
        <v>448.90999999999997</v>
      </c>
      <c r="F28" s="503"/>
      <c r="G28" s="503"/>
      <c r="H28" s="503">
        <f>E28/9.87</f>
        <v>45.4822695035461</v>
      </c>
      <c r="I28" s="504">
        <f>J28/E28*1000</f>
        <v>308.32262591610788</v>
      </c>
      <c r="J28" s="505">
        <f>J24-J12-J13-J11</f>
        <v>138.40910999999997</v>
      </c>
      <c r="K28" s="24"/>
      <c r="L28" s="24"/>
      <c r="M28" s="24"/>
      <c r="N28" s="24"/>
      <c r="O28" s="24"/>
      <c r="P28" s="24"/>
      <c r="Q28" s="24"/>
      <c r="R28" s="24"/>
      <c r="S28" s="24"/>
      <c r="T28" s="24"/>
      <c r="U28" s="24"/>
    </row>
    <row r="29" spans="2:21" x14ac:dyDescent="0.2">
      <c r="B29" s="781" t="s">
        <v>360</v>
      </c>
      <c r="C29" s="782"/>
      <c r="D29" s="783"/>
      <c r="E29" s="501">
        <f>E27</f>
        <v>448.90999999999997</v>
      </c>
      <c r="F29" s="501"/>
      <c r="G29" s="501"/>
      <c r="H29" s="501">
        <f>E29/9.87</f>
        <v>45.4822695035461</v>
      </c>
      <c r="I29" s="500">
        <f>J29/E29*1000</f>
        <v>293.98233498919603</v>
      </c>
      <c r="J29" s="506">
        <f>$J$24-$J$17+$J$18</f>
        <v>131.97160999999997</v>
      </c>
      <c r="K29" s="24"/>
      <c r="L29" s="24"/>
      <c r="M29" s="24"/>
      <c r="N29" s="24"/>
      <c r="O29" s="24"/>
      <c r="P29" s="24"/>
      <c r="Q29" s="24"/>
      <c r="R29" s="24"/>
      <c r="S29" s="24"/>
      <c r="T29" s="24"/>
      <c r="U29" s="24"/>
    </row>
    <row r="30" spans="2:21" ht="13.5" thickBot="1" x14ac:dyDescent="0.25">
      <c r="B30" s="768" t="s">
        <v>207</v>
      </c>
      <c r="C30" s="769"/>
      <c r="D30" s="770"/>
      <c r="E30" s="503">
        <f>E28</f>
        <v>448.90999999999997</v>
      </c>
      <c r="F30" s="503"/>
      <c r="G30" s="503"/>
      <c r="H30" s="503">
        <f>E30/9.87</f>
        <v>45.4822695035461</v>
      </c>
      <c r="I30" s="504">
        <f>J30/E30*1000</f>
        <v>293.98233498919603</v>
      </c>
      <c r="J30" s="505">
        <f>$J$28-$J$17+$J$18</f>
        <v>131.97160999999997</v>
      </c>
      <c r="K30" s="24"/>
      <c r="L30" s="24"/>
      <c r="M30" s="24"/>
      <c r="N30" s="24"/>
      <c r="O30" s="24"/>
      <c r="P30" s="24"/>
      <c r="Q30" s="24"/>
      <c r="R30" s="24"/>
      <c r="S30" s="24"/>
      <c r="T30" s="24"/>
      <c r="U30" s="24"/>
    </row>
    <row r="31" spans="2:21" x14ac:dyDescent="0.2">
      <c r="B31" s="24"/>
      <c r="C31" s="24"/>
      <c r="D31" s="24"/>
      <c r="E31" s="24"/>
      <c r="F31" s="24"/>
      <c r="G31" s="24"/>
      <c r="H31" s="24"/>
      <c r="I31" s="24"/>
      <c r="J31" s="24"/>
      <c r="K31" s="24"/>
      <c r="L31" s="24"/>
      <c r="M31" s="24"/>
      <c r="N31" s="24"/>
      <c r="O31" s="24"/>
      <c r="P31" s="24"/>
      <c r="Q31" s="24"/>
      <c r="R31" s="24"/>
      <c r="S31" s="24"/>
      <c r="T31" s="24"/>
    </row>
    <row r="32" spans="2:21" x14ac:dyDescent="0.2">
      <c r="B32" s="24"/>
      <c r="C32" s="24"/>
      <c r="D32" s="24"/>
      <c r="E32" s="24"/>
      <c r="F32" s="24"/>
      <c r="G32" s="24"/>
      <c r="H32" s="24"/>
      <c r="I32" s="24"/>
      <c r="J32" s="24"/>
      <c r="K32" s="24"/>
      <c r="L32" s="24"/>
      <c r="M32" s="24"/>
      <c r="N32" s="24"/>
      <c r="O32" s="24"/>
      <c r="P32" s="24"/>
      <c r="Q32" s="24"/>
      <c r="R32" s="24"/>
      <c r="S32" s="24"/>
      <c r="T32" s="24"/>
    </row>
    <row r="33" spans="2:20" hidden="1" x14ac:dyDescent="0.2">
      <c r="B33" s="24"/>
      <c r="C33" s="24"/>
      <c r="D33" s="24"/>
      <c r="E33" s="24"/>
      <c r="F33" s="24"/>
      <c r="G33" s="24"/>
      <c r="H33" s="24"/>
      <c r="I33" s="24"/>
      <c r="J33" s="24"/>
      <c r="K33" s="24"/>
      <c r="L33" s="24"/>
      <c r="M33" s="24"/>
      <c r="N33" s="24"/>
      <c r="O33" s="24"/>
      <c r="P33" s="24"/>
      <c r="Q33" s="24"/>
      <c r="R33" s="24"/>
      <c r="S33" s="24"/>
      <c r="T33" s="24"/>
    </row>
    <row r="34" spans="2:20" hidden="1" x14ac:dyDescent="0.2">
      <c r="B34" s="24"/>
      <c r="C34" s="24"/>
      <c r="D34" s="24"/>
      <c r="E34" s="24"/>
      <c r="F34" s="24"/>
      <c r="G34" s="24"/>
      <c r="H34" s="24"/>
      <c r="I34" s="24"/>
      <c r="J34" s="24"/>
      <c r="K34" s="24"/>
      <c r="L34" s="24"/>
      <c r="M34" s="24"/>
      <c r="N34" s="24"/>
      <c r="O34" s="24"/>
      <c r="P34" s="24"/>
      <c r="Q34" s="24"/>
      <c r="R34" s="24"/>
      <c r="S34" s="24"/>
      <c r="T34" s="24"/>
    </row>
    <row r="35" spans="2:20" hidden="1" x14ac:dyDescent="0.2">
      <c r="B35" s="24"/>
      <c r="C35" s="24"/>
      <c r="D35" s="24"/>
      <c r="E35" s="24"/>
      <c r="F35" s="24"/>
      <c r="G35" s="24"/>
      <c r="H35" s="24"/>
      <c r="I35" s="24"/>
      <c r="J35" s="24"/>
      <c r="K35" s="24"/>
      <c r="L35" s="24"/>
      <c r="M35" s="24"/>
      <c r="N35" s="24"/>
      <c r="O35" s="24"/>
      <c r="P35" s="24"/>
      <c r="Q35" s="24"/>
      <c r="R35" s="24"/>
      <c r="S35" s="24"/>
      <c r="T35" s="24"/>
    </row>
    <row r="36" spans="2:20" hidden="1" x14ac:dyDescent="0.2">
      <c r="B36" s="24"/>
      <c r="C36" s="24"/>
      <c r="D36" s="24"/>
      <c r="E36" s="24"/>
      <c r="F36" s="24"/>
      <c r="G36" s="24"/>
      <c r="H36" s="24"/>
      <c r="I36" s="24"/>
      <c r="J36" s="24"/>
      <c r="K36" s="24"/>
      <c r="L36" s="24"/>
      <c r="M36" s="24"/>
      <c r="N36" s="24"/>
      <c r="O36" s="24"/>
      <c r="P36" s="24"/>
      <c r="Q36" s="24"/>
      <c r="R36" s="24"/>
      <c r="S36" s="24"/>
      <c r="T36" s="24"/>
    </row>
    <row r="37" spans="2:20" hidden="1" x14ac:dyDescent="0.2">
      <c r="B37" s="24"/>
      <c r="C37" s="24"/>
      <c r="D37" s="24"/>
      <c r="E37" s="24"/>
      <c r="F37" s="24"/>
      <c r="G37" s="24"/>
      <c r="H37" s="24"/>
      <c r="I37" s="24"/>
      <c r="J37" s="24"/>
      <c r="K37" s="24"/>
      <c r="L37" s="24"/>
      <c r="M37" s="24"/>
      <c r="N37" s="24"/>
      <c r="O37" s="24"/>
      <c r="P37" s="24"/>
      <c r="Q37" s="24"/>
      <c r="R37" s="24"/>
      <c r="S37" s="24"/>
      <c r="T37" s="24"/>
    </row>
    <row r="38" spans="2:20" s="24" customFormat="1" hidden="1" x14ac:dyDescent="0.2"/>
    <row r="39" spans="2:20" x14ac:dyDescent="0.2">
      <c r="B39" s="24"/>
      <c r="C39" s="24"/>
      <c r="D39" s="24"/>
      <c r="E39" s="24"/>
      <c r="F39" s="24"/>
      <c r="G39" s="24"/>
      <c r="H39" s="24"/>
      <c r="I39" s="24"/>
      <c r="J39" s="24"/>
      <c r="K39" s="24"/>
      <c r="L39" s="24"/>
      <c r="M39" s="24"/>
      <c r="N39" s="24"/>
      <c r="O39" s="24"/>
      <c r="P39" s="24"/>
      <c r="Q39" s="24"/>
      <c r="R39" s="24"/>
      <c r="S39" s="24"/>
      <c r="T39" s="24"/>
    </row>
    <row r="40" spans="2:20" hidden="1" x14ac:dyDescent="0.2">
      <c r="B40" s="24"/>
      <c r="C40" s="24"/>
      <c r="D40" s="24"/>
      <c r="E40" s="24"/>
      <c r="F40" s="24"/>
      <c r="G40" s="24"/>
      <c r="H40" s="24"/>
      <c r="I40" s="24"/>
      <c r="J40" s="24"/>
      <c r="K40" s="24"/>
      <c r="L40" s="24"/>
      <c r="M40" s="24"/>
      <c r="N40" s="24"/>
      <c r="O40" s="24"/>
      <c r="P40" s="24"/>
      <c r="Q40" s="24"/>
      <c r="R40" s="24"/>
      <c r="S40" s="24"/>
      <c r="T40" s="24"/>
    </row>
  </sheetData>
  <sheetProtection password="CF2F" sheet="1" objects="1" scenarios="1" selectLockedCells="1"/>
  <mergeCells count="25">
    <mergeCell ref="C8:D8"/>
    <mergeCell ref="C7:D7"/>
    <mergeCell ref="B24:E24"/>
    <mergeCell ref="B5:C5"/>
    <mergeCell ref="B1:J1"/>
    <mergeCell ref="C16:D16"/>
    <mergeCell ref="C15:D15"/>
    <mergeCell ref="C14:D14"/>
    <mergeCell ref="C13:D13"/>
    <mergeCell ref="C12:D12"/>
    <mergeCell ref="C11:D11"/>
    <mergeCell ref="I5:J5"/>
    <mergeCell ref="B30:D30"/>
    <mergeCell ref="B27:D27"/>
    <mergeCell ref="B28:D28"/>
    <mergeCell ref="C9:D9"/>
    <mergeCell ref="C18:D18"/>
    <mergeCell ref="C17:D17"/>
    <mergeCell ref="C22:D22"/>
    <mergeCell ref="B29:D29"/>
    <mergeCell ref="B26:D26"/>
    <mergeCell ref="C23:D23"/>
    <mergeCell ref="C21:D21"/>
    <mergeCell ref="C20:D20"/>
    <mergeCell ref="C19:D19"/>
  </mergeCells>
  <conditionalFormatting sqref="I8:I20 I22:I23">
    <cfRule type="expression" dxfId="11" priority="1" stopIfTrue="1">
      <formula>I8&gt;E8</formula>
    </cfRule>
  </conditionalFormatting>
  <conditionalFormatting sqref="I8:I23">
    <cfRule type="expression" dxfId="10" priority="3" stopIfTrue="1">
      <formula>I8</formula>
    </cfRule>
  </conditionalFormatting>
  <conditionalFormatting sqref="I24">
    <cfRule type="expression" dxfId="9" priority="4">
      <formula>AND($H$21=2,$I$24&gt;575)</formula>
    </cfRule>
    <cfRule type="expression" dxfId="8" priority="21" stopIfTrue="1">
      <formula>$I$24&gt;600</formula>
    </cfRule>
  </conditionalFormatting>
  <conditionalFormatting sqref="J24 J27">
    <cfRule type="expression" dxfId="7" priority="9">
      <formula>$J$24*1000/$I$24 &gt; 398</formula>
    </cfRule>
    <cfRule type="expression" dxfId="6" priority="13" stopIfTrue="1">
      <formula>($I$24-37.377)/$J$24&lt;2.5126</formula>
    </cfRule>
  </conditionalFormatting>
  <conditionalFormatting sqref="J28">
    <cfRule type="expression" dxfId="5" priority="10" stopIfTrue="1">
      <formula>$J$28*1000/$E$28 &gt; 398</formula>
    </cfRule>
    <cfRule type="expression" dxfId="4" priority="14" stopIfTrue="1">
      <formula>($E$28-37.377)/$J$28&lt;2.5126</formula>
    </cfRule>
  </conditionalFormatting>
  <conditionalFormatting sqref="J29">
    <cfRule type="expression" dxfId="3" priority="11" stopIfTrue="1">
      <formula>$J$29*1000/$E$29 &gt; 398</formula>
    </cfRule>
    <cfRule type="expression" dxfId="2" priority="16" stopIfTrue="1">
      <formula>($E$29-37.377)/$J$29&lt;2.5126</formula>
    </cfRule>
  </conditionalFormatting>
  <conditionalFormatting sqref="J30">
    <cfRule type="expression" dxfId="1" priority="18" stopIfTrue="1">
      <formula>($E$30-37.377)/$J$30&lt;2.5126</formula>
    </cfRule>
  </conditionalFormatting>
  <conditionalFormatting sqref="J90">
    <cfRule type="expression" dxfId="0" priority="12" stopIfTrue="1">
      <formula>$J$30*1000/$E$28 &gt; 398</formula>
    </cfRule>
  </conditionalFormatting>
  <dataValidations count="1">
    <dataValidation type="list" allowBlank="1" showInputMessage="1" showErrorMessage="1" sqref="H21" xr:uid="{00000000-0002-0000-0400-000000000000}">
      <formula1>"0,1,2"</formula1>
    </dataValidation>
  </dataValidations>
  <pageMargins left="0.7" right="0.7" top="0.75" bottom="0.75" header="0.3" footer="0.3"/>
  <pageSetup paperSize="9" scale="7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Config!$B$10:$B$11</xm:f>
          </x14:formula1>
          <xm:sqref>C11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U71"/>
  <sheetViews>
    <sheetView zoomScale="115" zoomScaleNormal="115" workbookViewId="0">
      <selection activeCell="H24" sqref="H24"/>
    </sheetView>
  </sheetViews>
  <sheetFormatPr baseColWidth="10" defaultColWidth="9.140625" defaultRowHeight="12.75" x14ac:dyDescent="0.2"/>
  <cols>
    <col min="1" max="1" width="15.7109375" customWidth="1"/>
    <col min="2" max="2" width="28.28515625" bestFit="1" customWidth="1"/>
    <col min="3" max="3" width="10.5703125" bestFit="1" customWidth="1"/>
    <col min="4" max="4" width="8.5703125" bestFit="1" customWidth="1"/>
    <col min="5" max="5" width="10" style="1" bestFit="1" customWidth="1"/>
    <col min="6" max="6" width="13.5703125" bestFit="1" customWidth="1"/>
    <col min="7" max="7" width="9.28515625" style="7" customWidth="1"/>
    <col min="8" max="8" width="27.5703125" bestFit="1" customWidth="1"/>
    <col min="9" max="9" width="9.42578125" bestFit="1" customWidth="1"/>
    <col min="10" max="10" width="11.42578125" customWidth="1"/>
    <col min="11" max="11" width="10.7109375" customWidth="1"/>
    <col min="12" max="12" width="13.5703125" bestFit="1" customWidth="1"/>
    <col min="13" max="13" width="10.7109375" customWidth="1"/>
    <col min="17" max="17" width="13.5703125" bestFit="1" customWidth="1"/>
    <col min="18" max="18" width="15.28515625" bestFit="1" customWidth="1"/>
  </cols>
  <sheetData>
    <row r="1" spans="1:20" ht="13.5" thickBot="1" x14ac:dyDescent="0.25">
      <c r="A1" s="796" t="s">
        <v>62</v>
      </c>
      <c r="B1" s="797"/>
      <c r="C1" s="797"/>
      <c r="D1" s="798"/>
      <c r="E1" s="77"/>
      <c r="G1" s="799" t="s">
        <v>63</v>
      </c>
      <c r="H1" s="800"/>
      <c r="I1" s="800"/>
      <c r="J1" s="801"/>
      <c r="K1" s="233"/>
      <c r="L1" s="92"/>
      <c r="M1" s="799" t="s">
        <v>63</v>
      </c>
      <c r="N1" s="800"/>
      <c r="O1" s="800"/>
      <c r="P1" s="801"/>
    </row>
    <row r="2" spans="1:20" x14ac:dyDescent="0.2">
      <c r="A2" s="119"/>
      <c r="B2" s="120"/>
      <c r="C2" s="120"/>
      <c r="D2" s="121"/>
      <c r="G2" s="153"/>
      <c r="H2" s="120"/>
      <c r="I2" s="120"/>
      <c r="J2" s="121"/>
      <c r="L2" s="2"/>
      <c r="M2" s="14"/>
      <c r="P2" s="3"/>
      <c r="S2" s="4" t="s">
        <v>350</v>
      </c>
    </row>
    <row r="3" spans="1:20" x14ac:dyDescent="0.2">
      <c r="A3" s="2"/>
      <c r="C3" s="16" t="s">
        <v>42</v>
      </c>
      <c r="D3" s="19" t="s">
        <v>25</v>
      </c>
      <c r="E3" s="16" t="s">
        <v>237</v>
      </c>
      <c r="G3" s="14"/>
      <c r="H3" s="4" t="s">
        <v>41</v>
      </c>
      <c r="J3" s="3"/>
      <c r="L3" s="2"/>
      <c r="M3" s="14"/>
      <c r="N3" s="4" t="s">
        <v>41</v>
      </c>
      <c r="P3" s="3"/>
      <c r="S3">
        <v>575</v>
      </c>
      <c r="T3">
        <f>O17</f>
        <v>180.97500000000005</v>
      </c>
    </row>
    <row r="4" spans="1:20" x14ac:dyDescent="0.2">
      <c r="A4" s="2"/>
      <c r="B4" s="4" t="s">
        <v>26</v>
      </c>
      <c r="C4" s="16" t="s">
        <v>0</v>
      </c>
      <c r="D4" s="19" t="s">
        <v>1</v>
      </c>
      <c r="E4" s="5"/>
      <c r="G4" s="14"/>
      <c r="H4" s="6" t="s">
        <v>27</v>
      </c>
      <c r="I4" s="6" t="s">
        <v>82</v>
      </c>
      <c r="J4" s="90" t="s">
        <v>81</v>
      </c>
      <c r="K4" s="6"/>
      <c r="L4" s="75" t="s">
        <v>187</v>
      </c>
      <c r="M4" s="14"/>
      <c r="N4" s="6" t="s">
        <v>27</v>
      </c>
      <c r="O4" s="6" t="s">
        <v>82</v>
      </c>
      <c r="P4" s="90" t="s">
        <v>81</v>
      </c>
      <c r="Q4" s="75" t="s">
        <v>187</v>
      </c>
      <c r="S4">
        <v>575</v>
      </c>
      <c r="T4">
        <f>P17</f>
        <v>228.85</v>
      </c>
    </row>
    <row r="5" spans="1:20" x14ac:dyDescent="0.2">
      <c r="A5" s="11" t="s">
        <v>28</v>
      </c>
      <c r="B5" s="12" t="s">
        <v>126</v>
      </c>
      <c r="C5" s="13">
        <v>400</v>
      </c>
      <c r="D5" s="74">
        <f>'W&amp;B Report Metric'!E43</f>
        <v>588.95171149144255</v>
      </c>
      <c r="E5" s="240">
        <f>'W&amp;B Report Metric'!N35</f>
        <v>0</v>
      </c>
      <c r="G5" s="78" t="s">
        <v>123</v>
      </c>
      <c r="H5" s="1"/>
      <c r="I5" s="18">
        <v>270</v>
      </c>
      <c r="J5" s="91">
        <v>390</v>
      </c>
      <c r="K5" s="234"/>
      <c r="L5" s="76">
        <v>344.23099346153839</v>
      </c>
      <c r="M5" s="78" t="s">
        <v>69</v>
      </c>
      <c r="N5" s="1"/>
      <c r="O5" s="18">
        <v>270</v>
      </c>
      <c r="P5" s="91">
        <v>398</v>
      </c>
    </row>
    <row r="6" spans="1:20" x14ac:dyDescent="0.2">
      <c r="A6" s="11" t="s">
        <v>28</v>
      </c>
      <c r="B6" s="12" t="s">
        <v>92</v>
      </c>
      <c r="C6" s="13">
        <v>400</v>
      </c>
      <c r="D6" s="74">
        <f>'W&amp;B Report Metric'!E54</f>
        <v>581.5514316012725</v>
      </c>
      <c r="E6" s="240">
        <f>'W&amp;B Report Metric'!N36</f>
        <v>0</v>
      </c>
      <c r="F6" s="12" t="s">
        <v>270</v>
      </c>
      <c r="G6" s="78" t="s">
        <v>82</v>
      </c>
      <c r="H6" s="1"/>
      <c r="I6" s="5"/>
      <c r="J6" s="17"/>
      <c r="K6" s="5"/>
      <c r="L6" s="76"/>
      <c r="M6" s="78" t="s">
        <v>82</v>
      </c>
      <c r="N6" s="1"/>
      <c r="O6" s="5"/>
      <c r="P6" s="17"/>
    </row>
    <row r="7" spans="1:20" x14ac:dyDescent="0.2">
      <c r="A7" s="11" t="s">
        <v>17</v>
      </c>
      <c r="B7" s="12" t="s">
        <v>67</v>
      </c>
      <c r="C7" s="13">
        <v>115</v>
      </c>
      <c r="D7" s="369">
        <v>-645</v>
      </c>
      <c r="E7" s="1">
        <v>1</v>
      </c>
      <c r="F7" s="136">
        <v>-647.70000000000005</v>
      </c>
      <c r="G7" s="18">
        <v>270</v>
      </c>
      <c r="H7" s="6">
        <v>325</v>
      </c>
      <c r="I7" s="5"/>
      <c r="J7" s="17">
        <v>87.75</v>
      </c>
      <c r="K7" s="5"/>
      <c r="L7" s="5">
        <f t="shared" ref="L7:L14" si="0">J7-14.875</f>
        <v>72.875</v>
      </c>
      <c r="M7" s="18">
        <v>270</v>
      </c>
      <c r="N7" s="6">
        <v>325</v>
      </c>
      <c r="O7" s="5"/>
      <c r="P7" s="17">
        <f>O8</f>
        <v>87.75</v>
      </c>
      <c r="Q7">
        <f>P7-14.876</f>
        <v>72.873999999999995</v>
      </c>
    </row>
    <row r="8" spans="1:20" x14ac:dyDescent="0.2">
      <c r="A8" s="127" t="s">
        <v>150</v>
      </c>
      <c r="B8" s="128" t="s">
        <v>151</v>
      </c>
      <c r="C8" s="129">
        <v>5.6</v>
      </c>
      <c r="D8" s="130">
        <v>4120.93</v>
      </c>
      <c r="E8" s="1">
        <v>1</v>
      </c>
      <c r="G8" s="14"/>
      <c r="H8" s="6">
        <v>325</v>
      </c>
      <c r="I8" s="5">
        <f>$H8*I$5/1000</f>
        <v>87.75</v>
      </c>
      <c r="J8" s="17">
        <f>$H8*J$5/1000</f>
        <v>126.75</v>
      </c>
      <c r="K8" s="5"/>
      <c r="L8" s="5">
        <f t="shared" si="0"/>
        <v>111.875</v>
      </c>
      <c r="M8" s="14"/>
      <c r="N8" s="6">
        <v>325</v>
      </c>
      <c r="O8" s="5">
        <f>$N8*O$5/1000</f>
        <v>87.75</v>
      </c>
      <c r="P8" s="17">
        <f>$N8*P$5/1000</f>
        <v>129.35</v>
      </c>
      <c r="Q8">
        <f t="shared" ref="Q8:Q18" si="1">P8-14.876</f>
        <v>114.47399999999999</v>
      </c>
    </row>
    <row r="9" spans="1:20" x14ac:dyDescent="0.2">
      <c r="A9" s="127" t="s">
        <v>73</v>
      </c>
      <c r="B9" s="128" t="s">
        <v>72</v>
      </c>
      <c r="C9" s="129">
        <v>24</v>
      </c>
      <c r="D9" s="130">
        <v>-1270</v>
      </c>
      <c r="E9" s="1">
        <v>1</v>
      </c>
      <c r="G9" s="14"/>
      <c r="H9" s="6">
        <f>H8+25+25</f>
        <v>375</v>
      </c>
      <c r="I9" s="5">
        <f t="shared" ref="I9:J15" si="2">$H9*I$5/1000</f>
        <v>101.25</v>
      </c>
      <c r="J9" s="17">
        <f>$H9*J$5/1000</f>
        <v>146.25</v>
      </c>
      <c r="K9" s="5"/>
      <c r="L9" s="5">
        <f t="shared" si="0"/>
        <v>131.375</v>
      </c>
      <c r="M9" s="14"/>
      <c r="N9" s="6">
        <f>N8+25+25</f>
        <v>375</v>
      </c>
      <c r="O9" s="5">
        <f>$N9*O$5/1000</f>
        <v>101.25</v>
      </c>
      <c r="P9" s="17">
        <f>$N9*P$5/1000</f>
        <v>149.25</v>
      </c>
      <c r="Q9">
        <f t="shared" si="1"/>
        <v>134.374</v>
      </c>
    </row>
    <row r="10" spans="1:20" ht="13.5" thickBot="1" x14ac:dyDescent="0.25">
      <c r="A10" s="11" t="s">
        <v>335</v>
      </c>
      <c r="B10" s="12" t="s">
        <v>336</v>
      </c>
      <c r="C10" s="13">
        <v>132</v>
      </c>
      <c r="D10" s="136"/>
      <c r="G10" s="14"/>
      <c r="H10" s="6">
        <f t="shared" ref="H10:H15" si="3">H9+25</f>
        <v>400</v>
      </c>
      <c r="I10" s="5">
        <f t="shared" si="2"/>
        <v>108</v>
      </c>
      <c r="J10" s="17">
        <f t="shared" si="2"/>
        <v>156</v>
      </c>
      <c r="K10" s="5"/>
      <c r="L10" s="5">
        <f t="shared" si="0"/>
        <v>141.125</v>
      </c>
      <c r="M10" s="14"/>
      <c r="N10" s="6">
        <f t="shared" ref="N10:N17" si="4">N9+25</f>
        <v>400</v>
      </c>
      <c r="O10" s="5">
        <f>$N10*O$5/1000</f>
        <v>108</v>
      </c>
      <c r="P10" s="17">
        <f t="shared" ref="P10:P18" si="5">$N10*P$5/1000</f>
        <v>159.19999999999999</v>
      </c>
      <c r="Q10">
        <f t="shared" si="1"/>
        <v>144.32399999999998</v>
      </c>
    </row>
    <row r="11" spans="1:20" x14ac:dyDescent="0.2">
      <c r="A11" s="11" t="s">
        <v>335</v>
      </c>
      <c r="B11" s="12" t="s">
        <v>337</v>
      </c>
      <c r="C11" s="13">
        <v>156</v>
      </c>
      <c r="D11" s="136"/>
      <c r="G11" s="172" t="s">
        <v>82</v>
      </c>
      <c r="H11" s="152">
        <f t="shared" si="3"/>
        <v>425</v>
      </c>
      <c r="I11" s="73">
        <f>($I$15-$I$10)/5+I10</f>
        <v>118.425</v>
      </c>
      <c r="J11" s="151">
        <f t="shared" si="2"/>
        <v>165.75</v>
      </c>
      <c r="K11" s="5"/>
      <c r="L11" s="5">
        <f t="shared" si="0"/>
        <v>150.875</v>
      </c>
      <c r="M11" s="172" t="s">
        <v>82</v>
      </c>
      <c r="N11" s="152">
        <f t="shared" si="4"/>
        <v>425</v>
      </c>
      <c r="O11" s="73">
        <f>($O$18-$O$10)/8+O10</f>
        <v>118.425</v>
      </c>
      <c r="P11" s="151">
        <f t="shared" si="5"/>
        <v>169.15</v>
      </c>
      <c r="Q11">
        <f t="shared" si="1"/>
        <v>154.274</v>
      </c>
    </row>
    <row r="12" spans="1:20" x14ac:dyDescent="0.2">
      <c r="A12" s="11" t="s">
        <v>68</v>
      </c>
      <c r="B12" s="12" t="s">
        <v>93</v>
      </c>
      <c r="C12" s="13">
        <v>34</v>
      </c>
      <c r="D12" s="136">
        <v>480</v>
      </c>
      <c r="E12" s="1">
        <v>1</v>
      </c>
      <c r="G12" s="173">
        <v>305</v>
      </c>
      <c r="H12" s="6">
        <f t="shared" si="3"/>
        <v>450</v>
      </c>
      <c r="I12" s="5">
        <f>($I$15-$I$10)/5+I11</f>
        <v>128.85</v>
      </c>
      <c r="J12" s="17">
        <f t="shared" si="2"/>
        <v>175.5</v>
      </c>
      <c r="K12" s="5"/>
      <c r="L12" s="5">
        <f t="shared" si="0"/>
        <v>160.625</v>
      </c>
      <c r="M12" s="173">
        <v>319</v>
      </c>
      <c r="N12" s="6">
        <f t="shared" si="4"/>
        <v>450</v>
      </c>
      <c r="O12" s="5">
        <f t="shared" ref="O12:O17" si="6">($O$18-$O$10)/8+O11</f>
        <v>128.85</v>
      </c>
      <c r="P12" s="17">
        <f t="shared" si="5"/>
        <v>179.1</v>
      </c>
      <c r="Q12">
        <f t="shared" si="1"/>
        <v>164.22399999999999</v>
      </c>
      <c r="R12">
        <f>(Config!D27-Config!J5)/(Config!J5-Config!D7)*Config!C27+(Config!D26-J5)/(J5-Config!D7)*Config!C26</f>
        <v>0</v>
      </c>
    </row>
    <row r="13" spans="1:20" x14ac:dyDescent="0.2">
      <c r="A13" s="11" t="s">
        <v>30</v>
      </c>
      <c r="B13" s="12" t="s">
        <v>31</v>
      </c>
      <c r="C13" s="13">
        <v>5.8</v>
      </c>
      <c r="D13" s="136">
        <v>4285</v>
      </c>
      <c r="E13" s="1">
        <v>1</v>
      </c>
      <c r="G13" s="14"/>
      <c r="H13" s="6">
        <f t="shared" si="3"/>
        <v>475</v>
      </c>
      <c r="I13" s="5">
        <f>($I$15-$I$10)/5+I12</f>
        <v>139.27500000000001</v>
      </c>
      <c r="J13" s="17">
        <f t="shared" si="2"/>
        <v>185.25</v>
      </c>
      <c r="K13" s="5"/>
      <c r="L13" s="5">
        <f t="shared" si="0"/>
        <v>170.375</v>
      </c>
      <c r="M13" s="14"/>
      <c r="N13" s="6">
        <f t="shared" si="4"/>
        <v>475</v>
      </c>
      <c r="O13" s="5">
        <f t="shared" si="6"/>
        <v>139.27500000000001</v>
      </c>
      <c r="P13" s="17">
        <f t="shared" si="5"/>
        <v>189.05</v>
      </c>
      <c r="Q13">
        <f t="shared" si="1"/>
        <v>174.17400000000001</v>
      </c>
      <c r="R13">
        <f>(Config!D27-Config!G12)/(Config!G12-Config!D7)*Config!C27+(Config!D26-Config!G12)/(Config!G12-Config!D7)*Config!C26</f>
        <v>0</v>
      </c>
    </row>
    <row r="14" spans="1:20" x14ac:dyDescent="0.2">
      <c r="A14" s="11" t="s">
        <v>32</v>
      </c>
      <c r="B14" s="12" t="s">
        <v>340</v>
      </c>
      <c r="C14" s="13">
        <v>5</v>
      </c>
      <c r="D14" s="136">
        <v>4495</v>
      </c>
      <c r="E14" s="1">
        <v>1</v>
      </c>
      <c r="F14" s="12" t="s">
        <v>380</v>
      </c>
      <c r="G14" s="14"/>
      <c r="H14" s="6">
        <f t="shared" si="3"/>
        <v>500</v>
      </c>
      <c r="I14" s="5">
        <f>($I$15-$I$10)/5+I13</f>
        <v>149.70000000000002</v>
      </c>
      <c r="J14" s="17">
        <f t="shared" si="2"/>
        <v>195</v>
      </c>
      <c r="K14" s="5"/>
      <c r="L14" s="5">
        <f t="shared" si="0"/>
        <v>180.125</v>
      </c>
      <c r="M14" s="14"/>
      <c r="N14" s="6">
        <f t="shared" si="4"/>
        <v>500</v>
      </c>
      <c r="O14" s="5">
        <f t="shared" si="6"/>
        <v>149.70000000000002</v>
      </c>
      <c r="P14" s="17">
        <f t="shared" si="5"/>
        <v>199</v>
      </c>
      <c r="Q14">
        <f t="shared" si="1"/>
        <v>184.124</v>
      </c>
    </row>
    <row r="15" spans="1:20" x14ac:dyDescent="0.2">
      <c r="A15" s="11" t="s">
        <v>338</v>
      </c>
      <c r="B15" s="12" t="s">
        <v>339</v>
      </c>
      <c r="C15" s="13">
        <v>3.9</v>
      </c>
      <c r="D15" s="136">
        <v>4574</v>
      </c>
      <c r="E15" s="1">
        <v>1</v>
      </c>
      <c r="F15">
        <f>((C14*D14)+(C15*D15))/(C14+C15)</f>
        <v>4529.6179775280898</v>
      </c>
      <c r="G15" s="14"/>
      <c r="H15" s="6">
        <f t="shared" si="3"/>
        <v>525</v>
      </c>
      <c r="I15" s="5">
        <f>$H15*$G$12/1000</f>
        <v>160.125</v>
      </c>
      <c r="J15" s="17">
        <f t="shared" si="2"/>
        <v>204.75</v>
      </c>
      <c r="K15" s="5"/>
      <c r="L15" s="5">
        <f>J15-14.875</f>
        <v>189.875</v>
      </c>
      <c r="M15" s="14"/>
      <c r="N15" s="6">
        <f t="shared" si="4"/>
        <v>525</v>
      </c>
      <c r="O15" s="5">
        <f t="shared" si="6"/>
        <v>160.12500000000003</v>
      </c>
      <c r="P15" s="17">
        <f t="shared" si="5"/>
        <v>208.95</v>
      </c>
      <c r="Q15">
        <f t="shared" si="1"/>
        <v>194.07399999999998</v>
      </c>
    </row>
    <row r="16" spans="1:20" ht="13.5" thickBot="1" x14ac:dyDescent="0.25">
      <c r="A16" s="127" t="s">
        <v>233</v>
      </c>
      <c r="B16" s="128" t="s">
        <v>234</v>
      </c>
      <c r="C16" s="129">
        <v>12</v>
      </c>
      <c r="D16" s="130">
        <v>-1782</v>
      </c>
      <c r="E16" s="1">
        <v>1</v>
      </c>
      <c r="G16" s="15"/>
      <c r="H16" s="171">
        <v>525</v>
      </c>
      <c r="I16" s="71">
        <f>J15</f>
        <v>204.75</v>
      </c>
      <c r="J16" s="72"/>
      <c r="K16" s="5"/>
      <c r="L16" s="5"/>
      <c r="M16" s="2"/>
      <c r="N16" s="6">
        <f t="shared" si="4"/>
        <v>550</v>
      </c>
      <c r="O16" s="5">
        <f t="shared" si="6"/>
        <v>170.55000000000004</v>
      </c>
      <c r="P16" s="17">
        <f t="shared" si="5"/>
        <v>218.9</v>
      </c>
      <c r="Q16">
        <f t="shared" si="1"/>
        <v>204.024</v>
      </c>
    </row>
    <row r="17" spans="1:17" x14ac:dyDescent="0.2">
      <c r="A17" s="127" t="s">
        <v>33</v>
      </c>
      <c r="B17" s="128" t="s">
        <v>34</v>
      </c>
      <c r="C17" s="131">
        <v>0</v>
      </c>
      <c r="D17" s="130">
        <v>0</v>
      </c>
      <c r="E17" s="1">
        <v>1</v>
      </c>
      <c r="H17" s="1"/>
      <c r="I17" s="5"/>
      <c r="J17" s="5"/>
      <c r="K17" s="5"/>
      <c r="L17" s="5"/>
      <c r="M17" s="2"/>
      <c r="N17" s="6">
        <f t="shared" si="4"/>
        <v>575</v>
      </c>
      <c r="O17" s="5">
        <f t="shared" si="6"/>
        <v>180.97500000000005</v>
      </c>
      <c r="P17" s="17">
        <f t="shared" si="5"/>
        <v>228.85</v>
      </c>
      <c r="Q17">
        <f t="shared" si="1"/>
        <v>213.97399999999999</v>
      </c>
    </row>
    <row r="18" spans="1:17" x14ac:dyDescent="0.2">
      <c r="A18" s="127" t="s">
        <v>35</v>
      </c>
      <c r="B18" s="128" t="s">
        <v>36</v>
      </c>
      <c r="C18" s="129">
        <v>1</v>
      </c>
      <c r="D18" s="130">
        <v>150</v>
      </c>
      <c r="E18" s="1">
        <v>1</v>
      </c>
      <c r="H18" s="1"/>
      <c r="I18" s="5">
        <v>156</v>
      </c>
      <c r="J18" s="5">
        <v>247</v>
      </c>
      <c r="K18" s="5"/>
      <c r="L18" s="5">
        <f>I18*J18</f>
        <v>38532</v>
      </c>
      <c r="M18" s="2"/>
      <c r="N18" s="6">
        <f>N17+25</f>
        <v>600</v>
      </c>
      <c r="O18" s="5">
        <f>$N18*$M$12/1000</f>
        <v>191.4</v>
      </c>
      <c r="P18" s="17">
        <f t="shared" si="5"/>
        <v>238.8</v>
      </c>
      <c r="Q18">
        <f t="shared" si="1"/>
        <v>223.92400000000001</v>
      </c>
    </row>
    <row r="19" spans="1:17" ht="13.5" thickBot="1" x14ac:dyDescent="0.25">
      <c r="A19" s="127" t="s">
        <v>37</v>
      </c>
      <c r="B19" s="128" t="s">
        <v>38</v>
      </c>
      <c r="C19" s="129">
        <v>2</v>
      </c>
      <c r="D19" s="130">
        <v>0</v>
      </c>
      <c r="H19" s="1"/>
      <c r="I19" s="5">
        <v>24</v>
      </c>
      <c r="J19" s="5">
        <v>430</v>
      </c>
      <c r="K19" s="5"/>
      <c r="L19" s="5">
        <f>I19*J19</f>
        <v>10320</v>
      </c>
      <c r="M19" s="168"/>
      <c r="N19" s="70">
        <v>600</v>
      </c>
      <c r="O19" s="169">
        <f>P18</f>
        <v>238.8</v>
      </c>
      <c r="P19" s="170"/>
    </row>
    <row r="20" spans="1:17" x14ac:dyDescent="0.2">
      <c r="A20" s="11"/>
      <c r="B20" s="12"/>
      <c r="C20" s="1"/>
      <c r="D20" s="136"/>
      <c r="E20" s="1">
        <v>1</v>
      </c>
      <c r="H20" s="13" t="s">
        <v>204</v>
      </c>
      <c r="I20" s="5">
        <f>I18-I19</f>
        <v>132</v>
      </c>
      <c r="J20" s="5">
        <f>L20/I20</f>
        <v>213.72727272727272</v>
      </c>
      <c r="K20" s="5"/>
      <c r="L20" s="5">
        <f>L18-L19</f>
        <v>28212</v>
      </c>
    </row>
    <row r="21" spans="1:17" x14ac:dyDescent="0.2">
      <c r="A21" s="127" t="s">
        <v>208</v>
      </c>
      <c r="B21" s="128" t="s">
        <v>209</v>
      </c>
      <c r="C21" s="236">
        <v>25.75</v>
      </c>
      <c r="D21" s="239">
        <v>1248</v>
      </c>
      <c r="E21" s="1">
        <v>1</v>
      </c>
    </row>
    <row r="22" spans="1:17" x14ac:dyDescent="0.2">
      <c r="A22" s="127" t="s">
        <v>208</v>
      </c>
      <c r="B22" s="128" t="s">
        <v>210</v>
      </c>
      <c r="C22" s="236">
        <f>C21</f>
        <v>25.75</v>
      </c>
      <c r="D22" s="239">
        <v>998</v>
      </c>
      <c r="J22" s="12" t="s">
        <v>25</v>
      </c>
      <c r="K22" s="12" t="s">
        <v>251</v>
      </c>
      <c r="L22" s="12" t="s">
        <v>252</v>
      </c>
    </row>
    <row r="23" spans="1:17" x14ac:dyDescent="0.2">
      <c r="A23" s="127"/>
      <c r="B23" s="128"/>
      <c r="C23" s="131"/>
      <c r="D23" s="130"/>
      <c r="E23" s="1">
        <v>1</v>
      </c>
      <c r="H23" s="12" t="s">
        <v>250</v>
      </c>
      <c r="J23">
        <f>(D24-P5)/(P5-D7)</f>
        <v>0.46139894486352162</v>
      </c>
      <c r="K23">
        <f>C24*J23</f>
        <v>11.488833727101687</v>
      </c>
      <c r="L23">
        <f>K23*2</f>
        <v>22.977667454203374</v>
      </c>
    </row>
    <row r="24" spans="1:17" x14ac:dyDescent="0.2">
      <c r="A24" s="127" t="s">
        <v>201</v>
      </c>
      <c r="B24" s="128" t="s">
        <v>235</v>
      </c>
      <c r="C24" s="361">
        <v>24.9</v>
      </c>
      <c r="D24" s="367">
        <v>879.23909949265305</v>
      </c>
      <c r="E24" s="1">
        <v>1</v>
      </c>
    </row>
    <row r="25" spans="1:17" ht="11.25" customHeight="1" x14ac:dyDescent="0.2">
      <c r="A25" s="127" t="s">
        <v>202</v>
      </c>
      <c r="B25" s="128" t="s">
        <v>211</v>
      </c>
      <c r="C25" s="361">
        <v>24.9</v>
      </c>
      <c r="D25" s="367">
        <f>D24</f>
        <v>879.23909949265305</v>
      </c>
      <c r="E25" s="1">
        <f>C26</f>
        <v>0</v>
      </c>
      <c r="H25" s="13"/>
    </row>
    <row r="26" spans="1:17" ht="13.5" thickBot="1" x14ac:dyDescent="0.25">
      <c r="A26" s="127"/>
      <c r="B26" s="128"/>
      <c r="C26" s="131"/>
      <c r="D26" s="130"/>
      <c r="E26" s="1">
        <f>C27</f>
        <v>0</v>
      </c>
      <c r="G26" s="1"/>
      <c r="H26" s="1"/>
      <c r="I26" s="1"/>
    </row>
    <row r="27" spans="1:17" ht="13.5" thickBot="1" x14ac:dyDescent="0.25">
      <c r="A27" s="11" t="s">
        <v>39</v>
      </c>
      <c r="B27" s="12"/>
      <c r="C27" s="13"/>
      <c r="D27" s="130"/>
      <c r="E27" s="1">
        <v>1</v>
      </c>
      <c r="G27" s="156" t="s">
        <v>146</v>
      </c>
      <c r="H27" s="167"/>
      <c r="I27" s="155"/>
      <c r="J27" s="154"/>
      <c r="K27" s="154"/>
      <c r="L27" s="154"/>
      <c r="M27" s="156" t="s">
        <v>147</v>
      </c>
      <c r="N27" s="166"/>
      <c r="O27" s="157"/>
    </row>
    <row r="28" spans="1:17" ht="13.5" thickBot="1" x14ac:dyDescent="0.25">
      <c r="A28" s="137" t="s">
        <v>372</v>
      </c>
      <c r="B28" s="138" t="s">
        <v>373</v>
      </c>
      <c r="C28" s="139">
        <v>20</v>
      </c>
      <c r="D28" s="140">
        <v>-450</v>
      </c>
      <c r="G28" s="161" t="s">
        <v>148</v>
      </c>
      <c r="H28" s="162" t="s">
        <v>149</v>
      </c>
      <c r="I28" s="155"/>
      <c r="J28" s="154"/>
      <c r="K28" s="154"/>
      <c r="L28" s="154"/>
      <c r="M28" s="161" t="s">
        <v>148</v>
      </c>
      <c r="N28" s="163" t="s">
        <v>149</v>
      </c>
      <c r="O28" s="158"/>
    </row>
    <row r="29" spans="1:17" x14ac:dyDescent="0.2">
      <c r="G29" s="161">
        <v>330</v>
      </c>
      <c r="H29" s="158">
        <v>245</v>
      </c>
      <c r="I29" s="155"/>
      <c r="J29" s="154"/>
      <c r="K29" s="154"/>
      <c r="L29" s="154"/>
      <c r="M29" s="161">
        <v>330</v>
      </c>
      <c r="N29" s="154">
        <v>209.1139492227997</v>
      </c>
      <c r="O29" s="158"/>
    </row>
    <row r="30" spans="1:17" x14ac:dyDescent="0.2">
      <c r="A30" s="4" t="s">
        <v>64</v>
      </c>
      <c r="G30" s="161">
        <v>350</v>
      </c>
      <c r="H30" s="158">
        <v>260</v>
      </c>
      <c r="I30" s="155"/>
      <c r="J30" s="154"/>
      <c r="K30" s="154"/>
      <c r="L30" s="154"/>
      <c r="M30" s="161">
        <v>350</v>
      </c>
      <c r="N30" s="154">
        <v>220.96831176874966</v>
      </c>
      <c r="O30" s="158"/>
    </row>
    <row r="31" spans="1:17" x14ac:dyDescent="0.2">
      <c r="G31" s="161">
        <v>375</v>
      </c>
      <c r="H31" s="158">
        <v>277</v>
      </c>
      <c r="I31" s="155"/>
      <c r="J31" s="154"/>
      <c r="K31" s="154"/>
      <c r="L31" s="154"/>
      <c r="M31" s="161">
        <v>375</v>
      </c>
      <c r="N31" s="154">
        <v>236.45207050145802</v>
      </c>
      <c r="O31" s="158"/>
    </row>
    <row r="32" spans="1:17" x14ac:dyDescent="0.2">
      <c r="G32" s="161">
        <v>400</v>
      </c>
      <c r="H32" s="158">
        <v>295</v>
      </c>
      <c r="I32" s="155"/>
      <c r="J32" s="154"/>
      <c r="K32" s="154"/>
      <c r="L32" s="154"/>
      <c r="M32" s="161">
        <v>400</v>
      </c>
      <c r="N32" s="154">
        <v>252.53522187587157</v>
      </c>
      <c r="O32" s="158"/>
    </row>
    <row r="33" spans="1:15" x14ac:dyDescent="0.2">
      <c r="A33" s="4" t="s">
        <v>177</v>
      </c>
      <c r="B33" s="4"/>
      <c r="G33" s="161">
        <v>425</v>
      </c>
      <c r="H33" s="158">
        <v>311.35617346860948</v>
      </c>
      <c r="I33" s="154"/>
      <c r="J33" s="154"/>
      <c r="K33" s="154"/>
      <c r="L33" s="154"/>
      <c r="M33" s="161">
        <v>425</v>
      </c>
      <c r="N33" s="154">
        <v>269</v>
      </c>
      <c r="O33" s="158"/>
    </row>
    <row r="34" spans="1:15" x14ac:dyDescent="0.2">
      <c r="A34" s="4" t="s">
        <v>178</v>
      </c>
      <c r="B34" s="215">
        <v>1</v>
      </c>
      <c r="G34" s="161">
        <v>450</v>
      </c>
      <c r="H34" s="158">
        <v>311.35617346860948</v>
      </c>
      <c r="I34" s="154"/>
      <c r="J34" s="154"/>
      <c r="K34" s="154"/>
      <c r="L34" s="154"/>
      <c r="M34" s="161">
        <v>450</v>
      </c>
      <c r="N34" s="154">
        <v>285.54799133911149</v>
      </c>
      <c r="O34" s="158"/>
    </row>
    <row r="35" spans="1:15" x14ac:dyDescent="0.2">
      <c r="A35" s="4" t="s">
        <v>179</v>
      </c>
      <c r="B35" s="215">
        <v>2</v>
      </c>
      <c r="G35" s="161">
        <v>475</v>
      </c>
      <c r="H35" s="158">
        <v>311.35617346860948</v>
      </c>
      <c r="I35" s="154"/>
      <c r="J35" s="227">
        <f>'W&amp;B Report Metric'!N35</f>
        <v>0</v>
      </c>
      <c r="K35" s="227"/>
      <c r="L35" s="154"/>
      <c r="M35" s="161">
        <v>475</v>
      </c>
      <c r="N35" s="154">
        <v>301.79493425779151</v>
      </c>
      <c r="O35" s="158"/>
    </row>
    <row r="36" spans="1:15" x14ac:dyDescent="0.2">
      <c r="A36" s="4" t="s">
        <v>181</v>
      </c>
      <c r="B36" s="215">
        <v>3</v>
      </c>
      <c r="G36" s="161">
        <v>500</v>
      </c>
      <c r="H36" s="158">
        <v>311.35617346860948</v>
      </c>
      <c r="I36" s="154"/>
      <c r="J36" s="154">
        <f>C24</f>
        <v>24.9</v>
      </c>
      <c r="K36" s="154"/>
      <c r="L36" s="154"/>
      <c r="M36" s="161">
        <v>500</v>
      </c>
      <c r="N36" s="154">
        <v>301.79493425779151</v>
      </c>
      <c r="O36" s="158"/>
    </row>
    <row r="37" spans="1:15" x14ac:dyDescent="0.2">
      <c r="G37" s="161">
        <v>525</v>
      </c>
      <c r="H37" s="158">
        <v>311.35617346860948</v>
      </c>
      <c r="I37" s="154"/>
      <c r="J37" s="154">
        <f>C25</f>
        <v>24.9</v>
      </c>
      <c r="K37" s="154"/>
      <c r="L37" s="154"/>
      <c r="M37" s="161">
        <v>525</v>
      </c>
      <c r="N37" s="154">
        <v>301.79493425779151</v>
      </c>
      <c r="O37" s="158"/>
    </row>
    <row r="38" spans="1:15" ht="13.5" thickBot="1" x14ac:dyDescent="0.25">
      <c r="A38" s="12" t="s">
        <v>180</v>
      </c>
      <c r="B38" s="215">
        <f>VLOOKUP('Entry Form'!O6,A34:B36,2,FALSE)</f>
        <v>3</v>
      </c>
      <c r="G38" s="159"/>
      <c r="H38" s="160"/>
      <c r="I38" s="154" t="s">
        <v>212</v>
      </c>
      <c r="J38" s="227">
        <f>J39-J35-J36-J37</f>
        <v>263.20000000000005</v>
      </c>
      <c r="K38" s="227"/>
      <c r="L38" s="154"/>
      <c r="M38" s="161">
        <v>550</v>
      </c>
      <c r="N38" s="154">
        <v>301.79493425779151</v>
      </c>
      <c r="O38" s="158"/>
    </row>
    <row r="39" spans="1:15" x14ac:dyDescent="0.2">
      <c r="E39" s="226"/>
      <c r="G39" s="154"/>
      <c r="H39" s="154"/>
      <c r="I39" s="154"/>
      <c r="J39" s="154">
        <v>313</v>
      </c>
      <c r="K39" s="154"/>
      <c r="L39" s="154"/>
      <c r="M39" s="161">
        <v>575</v>
      </c>
      <c r="N39" s="154">
        <v>301.79493425779151</v>
      </c>
      <c r="O39" s="158"/>
    </row>
    <row r="40" spans="1:15" x14ac:dyDescent="0.2">
      <c r="B40" s="12"/>
      <c r="C40" s="225"/>
      <c r="D40" s="225"/>
      <c r="E40" s="226"/>
      <c r="G40" s="154"/>
      <c r="H40" s="154"/>
      <c r="I40" s="154"/>
      <c r="J40" s="154"/>
      <c r="K40" s="154"/>
      <c r="L40" s="154"/>
      <c r="M40" s="161"/>
      <c r="N40" s="154"/>
      <c r="O40" s="158"/>
    </row>
    <row r="41" spans="1:15" ht="20.25" thickBot="1" x14ac:dyDescent="0.35">
      <c r="B41" s="12"/>
      <c r="C41" s="226"/>
      <c r="D41" s="226"/>
      <c r="E41" s="226"/>
      <c r="F41" s="229" t="s">
        <v>229</v>
      </c>
      <c r="G41" s="229" t="s">
        <v>230</v>
      </c>
      <c r="H41" s="154"/>
      <c r="I41" s="364" t="s">
        <v>27</v>
      </c>
      <c r="J41" s="154"/>
      <c r="K41" s="154"/>
      <c r="L41" s="154"/>
      <c r="M41" s="165">
        <v>600</v>
      </c>
      <c r="N41" s="164">
        <v>301.79493425779151</v>
      </c>
      <c r="O41" s="160"/>
    </row>
    <row r="42" spans="1:15" ht="19.5" x14ac:dyDescent="0.3">
      <c r="B42" s="12"/>
      <c r="C42" s="226"/>
      <c r="D42" s="226"/>
      <c r="E42" s="229" t="s">
        <v>227</v>
      </c>
      <c r="F42" s="230">
        <f t="shared" ref="F42:F57" si="7">$C44*D44</f>
        <v>21097.65</v>
      </c>
      <c r="G42" s="230">
        <f t="shared" ref="G42:G57" si="8">$C44*E43</f>
        <v>20371.036</v>
      </c>
      <c r="H42" s="154">
        <v>1</v>
      </c>
      <c r="I42" s="365">
        <v>24</v>
      </c>
      <c r="J42" s="154"/>
      <c r="K42" s="154"/>
      <c r="L42" s="154"/>
      <c r="M42" s="224"/>
      <c r="N42" s="154"/>
      <c r="O42" s="154"/>
    </row>
    <row r="43" spans="1:15" ht="19.5" x14ac:dyDescent="0.3">
      <c r="B43" s="228" t="s">
        <v>213</v>
      </c>
      <c r="C43" s="229" t="s">
        <v>27</v>
      </c>
      <c r="D43" s="229" t="s">
        <v>228</v>
      </c>
      <c r="E43" s="230">
        <v>819.76</v>
      </c>
      <c r="F43" s="230">
        <f t="shared" si="7"/>
        <v>21097.65</v>
      </c>
      <c r="G43" s="230">
        <f t="shared" si="8"/>
        <v>20371.036</v>
      </c>
      <c r="H43" s="154">
        <v>1</v>
      </c>
      <c r="I43" s="365">
        <v>24</v>
      </c>
    </row>
    <row r="44" spans="1:15" x14ac:dyDescent="0.2">
      <c r="B44" s="235" t="s">
        <v>214</v>
      </c>
      <c r="C44" s="230">
        <v>24.85</v>
      </c>
      <c r="D44" s="230">
        <v>849</v>
      </c>
      <c r="E44" s="230">
        <v>819.76</v>
      </c>
      <c r="F44" s="230">
        <f t="shared" si="7"/>
        <v>1024.0640000000001</v>
      </c>
      <c r="G44" s="230">
        <f t="shared" si="8"/>
        <v>560</v>
      </c>
      <c r="H44" s="154">
        <v>1</v>
      </c>
      <c r="I44" s="365">
        <v>0.8</v>
      </c>
    </row>
    <row r="45" spans="1:15" x14ac:dyDescent="0.2">
      <c r="B45" s="235" t="s">
        <v>215</v>
      </c>
      <c r="C45" s="230">
        <v>24.85</v>
      </c>
      <c r="D45" s="230">
        <v>849</v>
      </c>
      <c r="E45" s="230">
        <v>700</v>
      </c>
      <c r="F45" s="230">
        <f t="shared" si="7"/>
        <v>12157.245000000001</v>
      </c>
      <c r="G45" s="230">
        <f t="shared" si="8"/>
        <v>7311.2</v>
      </c>
      <c r="H45" s="154">
        <v>1</v>
      </c>
      <c r="I45" s="365">
        <v>9.5</v>
      </c>
    </row>
    <row r="46" spans="1:15" x14ac:dyDescent="0.2">
      <c r="B46" s="231" t="s">
        <v>216</v>
      </c>
      <c r="C46" s="230">
        <f t="shared" ref="C46:C63" si="9">I44*H44</f>
        <v>0.8</v>
      </c>
      <c r="D46" s="230">
        <v>1280.08</v>
      </c>
      <c r="E46" s="230">
        <v>769.6</v>
      </c>
      <c r="F46" s="230">
        <f t="shared" si="7"/>
        <v>1548.8635999999999</v>
      </c>
      <c r="G46" s="230">
        <f t="shared" si="8"/>
        <v>1447.5</v>
      </c>
      <c r="H46" s="154">
        <v>1</v>
      </c>
      <c r="I46" s="365">
        <v>1.93</v>
      </c>
    </row>
    <row r="47" spans="1:15" x14ac:dyDescent="0.2">
      <c r="B47" s="231" t="s">
        <v>217</v>
      </c>
      <c r="C47" s="230">
        <f t="shared" si="9"/>
        <v>9.5</v>
      </c>
      <c r="D47" s="230">
        <v>1279.71</v>
      </c>
      <c r="E47" s="230">
        <v>750</v>
      </c>
      <c r="F47" s="230">
        <f t="shared" si="7"/>
        <v>225.39999999999998</v>
      </c>
      <c r="G47" s="230">
        <f t="shared" si="8"/>
        <v>269.5</v>
      </c>
      <c r="H47" s="154">
        <v>1</v>
      </c>
      <c r="I47" s="365">
        <v>0.35</v>
      </c>
    </row>
    <row r="48" spans="1:15" x14ac:dyDescent="0.2">
      <c r="B48" s="231" t="s">
        <v>206</v>
      </c>
      <c r="C48" s="230">
        <f t="shared" si="9"/>
        <v>1.93</v>
      </c>
      <c r="D48" s="230">
        <v>802.52</v>
      </c>
      <c r="E48" s="230">
        <v>770</v>
      </c>
      <c r="F48" s="230">
        <f t="shared" si="7"/>
        <v>698.23250000000007</v>
      </c>
      <c r="G48" s="230">
        <f t="shared" si="8"/>
        <v>708.75</v>
      </c>
      <c r="H48" s="154">
        <v>1</v>
      </c>
      <c r="I48" s="365">
        <v>0.875</v>
      </c>
    </row>
    <row r="49" spans="2:21" ht="13.5" customHeight="1" x14ac:dyDescent="0.3">
      <c r="B49" s="231" t="s">
        <v>218</v>
      </c>
      <c r="C49" s="230">
        <f t="shared" si="9"/>
        <v>0.35</v>
      </c>
      <c r="D49" s="230">
        <v>644</v>
      </c>
      <c r="E49" s="230">
        <v>810</v>
      </c>
      <c r="F49" s="230">
        <f t="shared" si="7"/>
        <v>1608.867</v>
      </c>
      <c r="G49" s="230">
        <f t="shared" si="8"/>
        <v>1608.867</v>
      </c>
      <c r="H49" s="154">
        <v>1</v>
      </c>
      <c r="I49" s="365">
        <v>1.3</v>
      </c>
      <c r="N49" s="232"/>
    </row>
    <row r="50" spans="2:21" x14ac:dyDescent="0.2">
      <c r="B50" s="100" t="s">
        <v>219</v>
      </c>
      <c r="C50" s="230">
        <f t="shared" si="9"/>
        <v>0.875</v>
      </c>
      <c r="D50" s="230">
        <v>797.98</v>
      </c>
      <c r="E50" s="230">
        <v>1237.5899999999999</v>
      </c>
      <c r="F50" s="230">
        <f t="shared" si="7"/>
        <v>43.460950000000004</v>
      </c>
      <c r="G50" s="230">
        <f t="shared" si="8"/>
        <v>43.460950000000004</v>
      </c>
      <c r="H50" s="154">
        <v>1</v>
      </c>
      <c r="I50" s="365">
        <v>6.5000000000000002E-2</v>
      </c>
    </row>
    <row r="51" spans="2:21" x14ac:dyDescent="0.2">
      <c r="B51" s="100" t="s">
        <v>220</v>
      </c>
      <c r="C51" s="230">
        <f t="shared" si="9"/>
        <v>1.3</v>
      </c>
      <c r="D51" s="230">
        <v>1237.5899999999999</v>
      </c>
      <c r="E51" s="230">
        <v>668.63</v>
      </c>
      <c r="F51" s="230">
        <f t="shared" si="7"/>
        <v>312.44799999999998</v>
      </c>
      <c r="G51" s="230">
        <f t="shared" si="8"/>
        <v>312.44799999999998</v>
      </c>
      <c r="H51" s="154">
        <v>1</v>
      </c>
      <c r="I51" s="365">
        <v>0.32</v>
      </c>
    </row>
    <row r="52" spans="2:21" ht="15" x14ac:dyDescent="0.25">
      <c r="B52" s="100" t="s">
        <v>221</v>
      </c>
      <c r="C52" s="230">
        <f t="shared" si="9"/>
        <v>6.5000000000000002E-2</v>
      </c>
      <c r="D52" s="230">
        <v>668.63</v>
      </c>
      <c r="E52" s="230">
        <v>976.4</v>
      </c>
      <c r="F52" s="230">
        <f t="shared" si="7"/>
        <v>861.55500000000006</v>
      </c>
      <c r="G52" s="230">
        <f t="shared" si="8"/>
        <v>861.55500000000006</v>
      </c>
      <c r="H52" s="154">
        <v>1</v>
      </c>
      <c r="I52" s="365">
        <v>1.5</v>
      </c>
      <c r="R52" s="133"/>
      <c r="S52" s="133"/>
      <c r="T52" s="133"/>
      <c r="U52" s="133"/>
    </row>
    <row r="53" spans="2:21" ht="15" x14ac:dyDescent="0.25">
      <c r="B53" s="100" t="s">
        <v>222</v>
      </c>
      <c r="C53" s="230">
        <f t="shared" si="9"/>
        <v>0.32</v>
      </c>
      <c r="D53" s="230">
        <v>976.4</v>
      </c>
      <c r="E53" s="230">
        <v>574.37</v>
      </c>
      <c r="F53" s="230">
        <f t="shared" si="7"/>
        <v>25.090199999999999</v>
      </c>
      <c r="G53" s="230">
        <f t="shared" si="8"/>
        <v>25.090199999999999</v>
      </c>
      <c r="H53" s="154">
        <v>1</v>
      </c>
      <c r="I53" s="365">
        <v>0.06</v>
      </c>
      <c r="R53" s="133"/>
      <c r="S53" s="133"/>
      <c r="T53" s="133"/>
      <c r="U53" s="133"/>
    </row>
    <row r="54" spans="2:21" ht="15" x14ac:dyDescent="0.25">
      <c r="B54" s="100" t="s">
        <v>205</v>
      </c>
      <c r="C54" s="230">
        <f t="shared" si="9"/>
        <v>1.5</v>
      </c>
      <c r="D54" s="230">
        <v>574.37</v>
      </c>
      <c r="E54" s="230">
        <v>418.17</v>
      </c>
      <c r="F54" s="230">
        <f t="shared" si="7"/>
        <v>309.4425</v>
      </c>
      <c r="G54" s="230">
        <f t="shared" si="8"/>
        <v>309.4425</v>
      </c>
      <c r="H54" s="154">
        <v>1</v>
      </c>
      <c r="I54" s="365">
        <v>0.255</v>
      </c>
      <c r="R54" s="133"/>
      <c r="S54" s="133"/>
      <c r="T54" s="133"/>
      <c r="U54" s="133"/>
    </row>
    <row r="55" spans="2:21" ht="15" x14ac:dyDescent="0.25">
      <c r="B55" s="100" t="s">
        <v>223</v>
      </c>
      <c r="C55" s="230">
        <f t="shared" si="9"/>
        <v>0.06</v>
      </c>
      <c r="D55" s="230">
        <v>418.17</v>
      </c>
      <c r="E55" s="230">
        <v>1213.5</v>
      </c>
      <c r="F55" s="230">
        <f t="shared" si="7"/>
        <v>500</v>
      </c>
      <c r="G55" s="230">
        <f t="shared" si="8"/>
        <v>485.40000000000003</v>
      </c>
      <c r="H55" s="154">
        <v>1</v>
      </c>
      <c r="I55" s="365">
        <v>0.4</v>
      </c>
      <c r="R55" s="133"/>
      <c r="S55" s="133"/>
      <c r="T55" s="133"/>
      <c r="U55" s="133"/>
    </row>
    <row r="56" spans="2:21" ht="15" x14ac:dyDescent="0.25">
      <c r="B56" s="100" t="s">
        <v>224</v>
      </c>
      <c r="C56" s="230">
        <f t="shared" si="9"/>
        <v>0.255</v>
      </c>
      <c r="D56" s="230">
        <v>1213.5</v>
      </c>
      <c r="E56" s="230">
        <v>1213.5</v>
      </c>
      <c r="F56" s="230">
        <f t="shared" si="7"/>
        <v>108.51939999999999</v>
      </c>
      <c r="G56" s="230">
        <f t="shared" si="8"/>
        <v>108.51939999999999</v>
      </c>
      <c r="H56" s="154">
        <v>1</v>
      </c>
      <c r="I56" s="365">
        <v>0.22</v>
      </c>
      <c r="R56" s="133"/>
      <c r="S56" s="133"/>
      <c r="T56" s="133"/>
      <c r="U56" s="133"/>
    </row>
    <row r="57" spans="2:21" ht="15" x14ac:dyDescent="0.25">
      <c r="B57" s="100" t="s">
        <v>300</v>
      </c>
      <c r="C57" s="230">
        <f>I55*H55</f>
        <v>0.4</v>
      </c>
      <c r="D57" s="230">
        <v>1250</v>
      </c>
      <c r="E57" s="230">
        <v>493.27</v>
      </c>
      <c r="F57" s="230">
        <f t="shared" si="7"/>
        <v>638.4</v>
      </c>
      <c r="G57" s="230">
        <f t="shared" si="8"/>
        <v>638.4</v>
      </c>
      <c r="H57" s="154">
        <v>1</v>
      </c>
      <c r="I57" s="365">
        <v>0.7</v>
      </c>
      <c r="R57" s="133"/>
      <c r="S57" s="133"/>
      <c r="T57" s="133"/>
      <c r="U57" s="133"/>
    </row>
    <row r="58" spans="2:21" ht="15" x14ac:dyDescent="0.25">
      <c r="B58" s="100" t="s">
        <v>225</v>
      </c>
      <c r="C58" s="230">
        <f t="shared" si="9"/>
        <v>0.22</v>
      </c>
      <c r="D58" s="230">
        <v>493.27</v>
      </c>
      <c r="E58" s="230">
        <v>912</v>
      </c>
      <c r="F58" s="230">
        <f>$C60*D60*$H58</f>
        <v>10530</v>
      </c>
      <c r="G58" s="230">
        <f>$C60*E59*$H58</f>
        <v>10530</v>
      </c>
      <c r="H58" s="154">
        <f>MOD($D$68,2)</f>
        <v>1</v>
      </c>
      <c r="I58" s="365">
        <v>6.5</v>
      </c>
      <c r="J58" s="12"/>
      <c r="R58" s="133"/>
      <c r="S58" s="133"/>
      <c r="T58" s="133"/>
      <c r="U58" s="133"/>
    </row>
    <row r="59" spans="2:21" x14ac:dyDescent="0.2">
      <c r="B59" s="100" t="s">
        <v>226</v>
      </c>
      <c r="C59" s="230">
        <f t="shared" si="9"/>
        <v>0.7</v>
      </c>
      <c r="D59" s="230">
        <v>912</v>
      </c>
      <c r="E59" s="230">
        <v>1620</v>
      </c>
      <c r="F59" s="230">
        <f>$C61*D61*$H59</f>
        <v>0</v>
      </c>
      <c r="G59" s="230">
        <f>$C61*E60*$H59</f>
        <v>0</v>
      </c>
      <c r="H59" s="154">
        <f>MOD($D$68-1,2)</f>
        <v>0</v>
      </c>
      <c r="I59" s="365">
        <v>4.5</v>
      </c>
    </row>
    <row r="60" spans="2:21" x14ac:dyDescent="0.2">
      <c r="B60" s="363" t="s">
        <v>294</v>
      </c>
      <c r="C60" s="230">
        <f t="shared" si="9"/>
        <v>6.5</v>
      </c>
      <c r="D60" s="230">
        <v>1620</v>
      </c>
      <c r="E60" s="230">
        <v>520</v>
      </c>
      <c r="F60" s="230">
        <f>$C62*D62*$H60</f>
        <v>2870</v>
      </c>
      <c r="G60" s="230">
        <f>$C62*E61*$H60</f>
        <v>2800</v>
      </c>
      <c r="H60" s="154">
        <f>MOD($D$68,2)</f>
        <v>1</v>
      </c>
      <c r="I60" s="365">
        <v>3.5</v>
      </c>
    </row>
    <row r="61" spans="2:21" x14ac:dyDescent="0.2">
      <c r="B61" s="363" t="s">
        <v>295</v>
      </c>
      <c r="C61" s="230">
        <f t="shared" si="9"/>
        <v>0</v>
      </c>
      <c r="D61" s="230">
        <v>520</v>
      </c>
      <c r="E61" s="230">
        <v>800</v>
      </c>
      <c r="F61" s="230">
        <f>$C63*D63*$H61</f>
        <v>0</v>
      </c>
      <c r="G61" s="230">
        <f>$C63*E62*$H61</f>
        <v>0</v>
      </c>
      <c r="H61" s="154">
        <f>MOD($D$68-1,2)</f>
        <v>0</v>
      </c>
      <c r="I61" s="365">
        <v>1.2</v>
      </c>
    </row>
    <row r="62" spans="2:21" x14ac:dyDescent="0.2">
      <c r="B62" s="363" t="s">
        <v>297</v>
      </c>
      <c r="C62" s="230">
        <f t="shared" si="9"/>
        <v>3.5</v>
      </c>
      <c r="D62" s="230">
        <v>820</v>
      </c>
      <c r="E62" s="230">
        <v>750</v>
      </c>
      <c r="F62" s="230">
        <f>SUM(F44:F61)</f>
        <v>33461.588150000003</v>
      </c>
      <c r="G62" s="230">
        <f>SUM(G44:G61)</f>
        <v>28020.13305</v>
      </c>
    </row>
    <row r="63" spans="2:21" x14ac:dyDescent="0.2">
      <c r="B63" s="363" t="s">
        <v>298</v>
      </c>
      <c r="C63" s="230">
        <f t="shared" si="9"/>
        <v>0</v>
      </c>
      <c r="D63" s="230">
        <v>802</v>
      </c>
      <c r="E63" s="238">
        <f>G62/$C$64</f>
        <v>990.9861379310347</v>
      </c>
      <c r="F63" s="230"/>
      <c r="G63" s="220"/>
    </row>
    <row r="64" spans="2:21" x14ac:dyDescent="0.2">
      <c r="B64" s="363" t="s">
        <v>166</v>
      </c>
      <c r="C64" s="230">
        <f>SUM(C46:C63)</f>
        <v>28.274999999999995</v>
      </c>
      <c r="D64" s="238">
        <f>F62/$C$64</f>
        <v>1183.4337099911586</v>
      </c>
      <c r="E64" s="230"/>
      <c r="F64" s="230"/>
      <c r="G64"/>
    </row>
    <row r="65" spans="2:6" x14ac:dyDescent="0.2">
      <c r="B65" s="100"/>
      <c r="C65" s="230"/>
      <c r="D65" s="230"/>
      <c r="E65" s="230"/>
      <c r="F65" s="362"/>
    </row>
    <row r="66" spans="2:6" x14ac:dyDescent="0.2">
      <c r="B66" s="100"/>
      <c r="C66" s="230"/>
      <c r="D66" s="230"/>
      <c r="E66" s="12"/>
      <c r="F66" s="12"/>
    </row>
    <row r="67" spans="2:6" x14ac:dyDescent="0.2">
      <c r="B67" s="12"/>
      <c r="C67" s="362"/>
      <c r="D67" s="12"/>
      <c r="E67" s="12"/>
      <c r="F67" s="12"/>
    </row>
    <row r="68" spans="2:6" x14ac:dyDescent="0.2">
      <c r="B68" s="12" t="s">
        <v>296</v>
      </c>
      <c r="C68" s="12"/>
      <c r="D68" s="366">
        <v>1</v>
      </c>
      <c r="E68" s="12"/>
      <c r="F68" s="12"/>
    </row>
    <row r="69" spans="2:6" x14ac:dyDescent="0.2">
      <c r="B69" s="12"/>
      <c r="C69" s="12"/>
      <c r="D69" s="12"/>
      <c r="E69" s="12"/>
      <c r="F69" s="12"/>
    </row>
    <row r="70" spans="2:6" x14ac:dyDescent="0.2">
      <c r="B70" s="12"/>
      <c r="C70" s="12"/>
      <c r="D70" s="12"/>
      <c r="E70" s="12"/>
    </row>
    <row r="71" spans="2:6" x14ac:dyDescent="0.2">
      <c r="B71" s="12"/>
      <c r="C71" s="12"/>
      <c r="D71" s="12"/>
    </row>
  </sheetData>
  <sheetProtection selectLockedCells="1" selectUnlockedCells="1"/>
  <mergeCells count="3">
    <mergeCell ref="A1:D1"/>
    <mergeCell ref="G1:J1"/>
    <mergeCell ref="M1:P1"/>
  </mergeCells>
  <pageMargins left="0.23622047244094491" right="0.23622047244094491" top="0.74803149606299213" bottom="0.74803149606299213" header="0.31496062992125984" footer="0.31496062992125984"/>
  <pageSetup paperSize="8" scale="83"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38"/>
  <sheetViews>
    <sheetView topLeftCell="A29" workbookViewId="0">
      <selection activeCell="C40" sqref="C40"/>
    </sheetView>
  </sheetViews>
  <sheetFormatPr baseColWidth="10" defaultColWidth="9.140625" defaultRowHeight="12.75" x14ac:dyDescent="0.2"/>
  <cols>
    <col min="1" max="1" width="12.7109375" bestFit="1" customWidth="1"/>
    <col min="2" max="2" width="10.28515625" bestFit="1" customWidth="1"/>
    <col min="3" max="3" width="169.28515625" customWidth="1"/>
  </cols>
  <sheetData>
    <row r="1" spans="1:8" ht="18.75" thickBot="1" x14ac:dyDescent="0.25">
      <c r="A1" s="802" t="s">
        <v>95</v>
      </c>
      <c r="B1" s="803"/>
      <c r="C1" s="804"/>
    </row>
    <row r="2" spans="1:8" ht="18" x14ac:dyDescent="0.2">
      <c r="A2" s="95" t="s">
        <v>96</v>
      </c>
      <c r="B2" s="96" t="s">
        <v>97</v>
      </c>
      <c r="C2" s="95" t="s">
        <v>98</v>
      </c>
    </row>
    <row r="3" spans="1:8" hidden="1" x14ac:dyDescent="0.2">
      <c r="A3" s="380">
        <v>1</v>
      </c>
      <c r="B3" s="381">
        <v>42689</v>
      </c>
      <c r="C3" s="382" t="s">
        <v>94</v>
      </c>
    </row>
    <row r="4" spans="1:8" hidden="1" x14ac:dyDescent="0.2">
      <c r="A4" s="380">
        <v>2</v>
      </c>
      <c r="B4" s="381">
        <v>42850</v>
      </c>
      <c r="C4" s="383" t="s">
        <v>144</v>
      </c>
      <c r="D4" s="94"/>
      <c r="E4" s="94"/>
      <c r="F4" s="94"/>
      <c r="G4" s="94"/>
      <c r="H4" s="94"/>
    </row>
    <row r="5" spans="1:8" hidden="1" x14ac:dyDescent="0.2">
      <c r="A5" s="384">
        <v>3</v>
      </c>
      <c r="B5" s="385">
        <v>42851</v>
      </c>
      <c r="C5" s="386" t="s">
        <v>145</v>
      </c>
    </row>
    <row r="6" spans="1:8" hidden="1" x14ac:dyDescent="0.2">
      <c r="A6" s="384">
        <v>4</v>
      </c>
      <c r="B6" s="385">
        <v>42968</v>
      </c>
      <c r="C6" s="386" t="s">
        <v>158</v>
      </c>
    </row>
    <row r="7" spans="1:8" hidden="1" x14ac:dyDescent="0.2">
      <c r="A7" s="384">
        <v>5</v>
      </c>
      <c r="B7" s="385">
        <v>42976</v>
      </c>
      <c r="C7" s="387" t="s">
        <v>168</v>
      </c>
    </row>
    <row r="8" spans="1:8" hidden="1" x14ac:dyDescent="0.2">
      <c r="A8" s="384">
        <v>6</v>
      </c>
      <c r="B8" s="385">
        <v>43080</v>
      </c>
      <c r="C8" s="388" t="s">
        <v>182</v>
      </c>
    </row>
    <row r="9" spans="1:8" hidden="1" x14ac:dyDescent="0.2">
      <c r="A9" s="384">
        <v>7</v>
      </c>
      <c r="B9" s="385">
        <v>43109</v>
      </c>
      <c r="C9" s="388" t="s">
        <v>183</v>
      </c>
      <c r="D9" s="12"/>
    </row>
    <row r="10" spans="1:8" hidden="1" x14ac:dyDescent="0.2">
      <c r="A10" s="384">
        <v>8</v>
      </c>
      <c r="B10" s="385">
        <v>43150</v>
      </c>
      <c r="C10" s="388" t="s">
        <v>184</v>
      </c>
    </row>
    <row r="11" spans="1:8" hidden="1" x14ac:dyDescent="0.2">
      <c r="A11" s="384">
        <v>9</v>
      </c>
      <c r="B11" s="385">
        <v>43262</v>
      </c>
      <c r="C11" s="388" t="s">
        <v>185</v>
      </c>
    </row>
    <row r="12" spans="1:8" hidden="1" x14ac:dyDescent="0.2">
      <c r="A12" s="384">
        <v>10</v>
      </c>
      <c r="B12" s="385">
        <v>43304</v>
      </c>
      <c r="C12" s="388" t="s">
        <v>186</v>
      </c>
    </row>
    <row r="13" spans="1:8" hidden="1" x14ac:dyDescent="0.2">
      <c r="A13" s="384">
        <v>11</v>
      </c>
      <c r="B13" s="385">
        <v>43503</v>
      </c>
      <c r="C13" s="388" t="s">
        <v>188</v>
      </c>
    </row>
    <row r="14" spans="1:8" ht="16.5" hidden="1" customHeight="1" x14ac:dyDescent="0.2">
      <c r="A14" s="384">
        <v>12</v>
      </c>
      <c r="B14" s="385">
        <v>43591</v>
      </c>
      <c r="C14" s="388" t="s">
        <v>191</v>
      </c>
    </row>
    <row r="15" spans="1:8" ht="25.5" hidden="1" x14ac:dyDescent="0.2">
      <c r="A15" s="384">
        <v>13</v>
      </c>
      <c r="B15" s="385">
        <v>43710</v>
      </c>
      <c r="C15" s="388" t="s">
        <v>192</v>
      </c>
    </row>
    <row r="16" spans="1:8" hidden="1" x14ac:dyDescent="0.2">
      <c r="A16" s="384">
        <v>14</v>
      </c>
      <c r="B16" s="385">
        <v>43719</v>
      </c>
      <c r="C16" s="388" t="s">
        <v>199</v>
      </c>
    </row>
    <row r="17" spans="1:3" x14ac:dyDescent="0.2">
      <c r="A17" s="384">
        <v>1</v>
      </c>
      <c r="B17" s="385">
        <v>44000</v>
      </c>
      <c r="C17" s="388" t="s">
        <v>203</v>
      </c>
    </row>
    <row r="18" spans="1:3" x14ac:dyDescent="0.2">
      <c r="A18" s="384">
        <v>2</v>
      </c>
      <c r="B18" s="389">
        <v>44089</v>
      </c>
      <c r="C18" s="388" t="s">
        <v>232</v>
      </c>
    </row>
    <row r="19" spans="1:3" x14ac:dyDescent="0.2">
      <c r="A19" s="384">
        <v>3</v>
      </c>
      <c r="B19" s="389">
        <v>44096</v>
      </c>
      <c r="C19" s="388" t="s">
        <v>231</v>
      </c>
    </row>
    <row r="20" spans="1:3" x14ac:dyDescent="0.2">
      <c r="A20" s="384">
        <v>4</v>
      </c>
      <c r="B20" s="389">
        <v>44099</v>
      </c>
      <c r="C20" s="388" t="s">
        <v>236</v>
      </c>
    </row>
    <row r="21" spans="1:3" x14ac:dyDescent="0.2">
      <c r="A21" s="384">
        <v>8</v>
      </c>
      <c r="B21" s="389">
        <v>44365</v>
      </c>
      <c r="C21" s="388" t="s">
        <v>292</v>
      </c>
    </row>
    <row r="22" spans="1:3" x14ac:dyDescent="0.2">
      <c r="A22" s="390"/>
      <c r="B22" s="390"/>
      <c r="C22" s="390"/>
    </row>
    <row r="23" spans="1:3" x14ac:dyDescent="0.2">
      <c r="A23" s="384">
        <v>10</v>
      </c>
      <c r="B23" s="389">
        <v>44405</v>
      </c>
      <c r="C23" s="388" t="s">
        <v>299</v>
      </c>
    </row>
    <row r="24" spans="1:3" x14ac:dyDescent="0.2">
      <c r="A24" s="384">
        <v>12</v>
      </c>
      <c r="B24" s="389">
        <v>44385</v>
      </c>
      <c r="C24" s="388" t="s">
        <v>301</v>
      </c>
    </row>
    <row r="25" spans="1:3" x14ac:dyDescent="0.2">
      <c r="A25" s="384">
        <v>13</v>
      </c>
      <c r="B25" s="389">
        <v>44592</v>
      </c>
      <c r="C25" s="386" t="s">
        <v>310</v>
      </c>
    </row>
    <row r="26" spans="1:3" ht="38.25" x14ac:dyDescent="0.2">
      <c r="A26" s="384">
        <v>14</v>
      </c>
      <c r="B26" s="389">
        <v>44692</v>
      </c>
      <c r="C26" s="388" t="s">
        <v>341</v>
      </c>
    </row>
    <row r="27" spans="1:3" ht="25.5" x14ac:dyDescent="0.2">
      <c r="A27" s="384">
        <v>15</v>
      </c>
      <c r="B27" s="426">
        <v>44701</v>
      </c>
      <c r="C27" s="427" t="s">
        <v>348</v>
      </c>
    </row>
    <row r="28" spans="1:3" x14ac:dyDescent="0.2">
      <c r="A28" s="384">
        <v>16</v>
      </c>
      <c r="B28" s="426">
        <v>44901</v>
      </c>
      <c r="C28" s="427" t="s">
        <v>349</v>
      </c>
    </row>
    <row r="29" spans="1:3" ht="63.75" x14ac:dyDescent="0.2">
      <c r="A29" s="445">
        <v>17</v>
      </c>
      <c r="B29" s="446">
        <v>44568</v>
      </c>
      <c r="C29" s="447" t="s">
        <v>363</v>
      </c>
    </row>
    <row r="30" spans="1:3" x14ac:dyDescent="0.2">
      <c r="A30" s="384">
        <v>18</v>
      </c>
      <c r="B30" s="426">
        <v>44966</v>
      </c>
      <c r="C30" s="427" t="s">
        <v>370</v>
      </c>
    </row>
    <row r="31" spans="1:3" x14ac:dyDescent="0.2">
      <c r="A31" s="384">
        <v>19</v>
      </c>
      <c r="B31" s="426">
        <v>44984</v>
      </c>
      <c r="C31" s="427" t="s">
        <v>371</v>
      </c>
    </row>
    <row r="32" spans="1:3" ht="38.25" x14ac:dyDescent="0.2">
      <c r="A32" s="384">
        <v>20</v>
      </c>
      <c r="B32" s="426">
        <v>44987</v>
      </c>
      <c r="C32" s="427" t="s">
        <v>374</v>
      </c>
    </row>
    <row r="33" spans="1:3" ht="25.5" x14ac:dyDescent="0.2">
      <c r="A33" s="384">
        <v>21</v>
      </c>
      <c r="B33" s="426">
        <v>45344</v>
      </c>
      <c r="C33" s="150" t="s">
        <v>376</v>
      </c>
    </row>
    <row r="34" spans="1:3" x14ac:dyDescent="0.2">
      <c r="A34" s="384">
        <v>22</v>
      </c>
      <c r="B34" s="426">
        <v>45369</v>
      </c>
      <c r="C34" s="150" t="s">
        <v>379</v>
      </c>
    </row>
    <row r="35" spans="1:3" ht="51" x14ac:dyDescent="0.2">
      <c r="A35" s="384">
        <v>23</v>
      </c>
      <c r="B35" s="426">
        <v>45387</v>
      </c>
      <c r="C35" s="150" t="s">
        <v>381</v>
      </c>
    </row>
    <row r="36" spans="1:3" x14ac:dyDescent="0.2">
      <c r="A36" s="384"/>
    </row>
    <row r="37" spans="1:3" x14ac:dyDescent="0.2">
      <c r="A37" s="384"/>
    </row>
    <row r="38" spans="1:3" x14ac:dyDescent="0.2">
      <c r="A38" s="384"/>
    </row>
  </sheetData>
  <sheetProtection selectLockedCells="1"/>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dimension ref="A1:L19"/>
  <sheetViews>
    <sheetView zoomScale="160" zoomScaleNormal="160" workbookViewId="0">
      <selection activeCell="H22" sqref="H22"/>
    </sheetView>
  </sheetViews>
  <sheetFormatPr baseColWidth="10" defaultColWidth="9.140625" defaultRowHeight="12.75" x14ac:dyDescent="0.2"/>
  <cols>
    <col min="1" max="1" width="9.5703125" style="154" bestFit="1" customWidth="1"/>
    <col min="2" max="2" width="7.7109375" style="154" bestFit="1" customWidth="1"/>
    <col min="3" max="3" width="7.7109375" style="154" customWidth="1"/>
    <col min="4" max="5" width="11.140625" style="154" customWidth="1"/>
    <col min="6" max="10" width="9.140625" style="154"/>
    <col min="11" max="11" width="34" style="154" customWidth="1"/>
    <col min="12" max="260" width="9.140625" style="154"/>
    <col min="261" max="261" width="9.5703125" style="154" bestFit="1" customWidth="1"/>
    <col min="262" max="266" width="9.140625" style="154"/>
    <col min="267" max="267" width="20.140625" style="154" bestFit="1" customWidth="1"/>
    <col min="268" max="516" width="9.140625" style="154"/>
    <col min="517" max="517" width="9.5703125" style="154" bestFit="1" customWidth="1"/>
    <col min="518" max="522" width="9.140625" style="154"/>
    <col min="523" max="523" width="20.140625" style="154" bestFit="1" customWidth="1"/>
    <col min="524" max="772" width="9.140625" style="154"/>
    <col min="773" max="773" width="9.5703125" style="154" bestFit="1" customWidth="1"/>
    <col min="774" max="778" width="9.140625" style="154"/>
    <col min="779" max="779" width="20.140625" style="154" bestFit="1" customWidth="1"/>
    <col min="780" max="1028" width="9.140625" style="154"/>
    <col min="1029" max="1029" width="9.5703125" style="154" bestFit="1" customWidth="1"/>
    <col min="1030" max="1034" width="9.140625" style="154"/>
    <col min="1035" max="1035" width="20.140625" style="154" bestFit="1" customWidth="1"/>
    <col min="1036" max="1284" width="9.140625" style="154"/>
    <col min="1285" max="1285" width="9.5703125" style="154" bestFit="1" customWidth="1"/>
    <col min="1286" max="1290" width="9.140625" style="154"/>
    <col min="1291" max="1291" width="20.140625" style="154" bestFit="1" customWidth="1"/>
    <col min="1292" max="1540" width="9.140625" style="154"/>
    <col min="1541" max="1541" width="9.5703125" style="154" bestFit="1" customWidth="1"/>
    <col min="1542" max="1546" width="9.140625" style="154"/>
    <col min="1547" max="1547" width="20.140625" style="154" bestFit="1" customWidth="1"/>
    <col min="1548" max="1796" width="9.140625" style="154"/>
    <col min="1797" max="1797" width="9.5703125" style="154" bestFit="1" customWidth="1"/>
    <col min="1798" max="1802" width="9.140625" style="154"/>
    <col min="1803" max="1803" width="20.140625" style="154" bestFit="1" customWidth="1"/>
    <col min="1804" max="2052" width="9.140625" style="154"/>
    <col min="2053" max="2053" width="9.5703125" style="154" bestFit="1" customWidth="1"/>
    <col min="2054" max="2058" width="9.140625" style="154"/>
    <col min="2059" max="2059" width="20.140625" style="154" bestFit="1" customWidth="1"/>
    <col min="2060" max="2308" width="9.140625" style="154"/>
    <col min="2309" max="2309" width="9.5703125" style="154" bestFit="1" customWidth="1"/>
    <col min="2310" max="2314" width="9.140625" style="154"/>
    <col min="2315" max="2315" width="20.140625" style="154" bestFit="1" customWidth="1"/>
    <col min="2316" max="2564" width="9.140625" style="154"/>
    <col min="2565" max="2565" width="9.5703125" style="154" bestFit="1" customWidth="1"/>
    <col min="2566" max="2570" width="9.140625" style="154"/>
    <col min="2571" max="2571" width="20.140625" style="154" bestFit="1" customWidth="1"/>
    <col min="2572" max="2820" width="9.140625" style="154"/>
    <col min="2821" max="2821" width="9.5703125" style="154" bestFit="1" customWidth="1"/>
    <col min="2822" max="2826" width="9.140625" style="154"/>
    <col min="2827" max="2827" width="20.140625" style="154" bestFit="1" customWidth="1"/>
    <col min="2828" max="3076" width="9.140625" style="154"/>
    <col min="3077" max="3077" width="9.5703125" style="154" bestFit="1" customWidth="1"/>
    <col min="3078" max="3082" width="9.140625" style="154"/>
    <col min="3083" max="3083" width="20.140625" style="154" bestFit="1" customWidth="1"/>
    <col min="3084" max="3332" width="9.140625" style="154"/>
    <col min="3333" max="3333" width="9.5703125" style="154" bestFit="1" customWidth="1"/>
    <col min="3334" max="3338" width="9.140625" style="154"/>
    <col min="3339" max="3339" width="20.140625" style="154" bestFit="1" customWidth="1"/>
    <col min="3340" max="3588" width="9.140625" style="154"/>
    <col min="3589" max="3589" width="9.5703125" style="154" bestFit="1" customWidth="1"/>
    <col min="3590" max="3594" width="9.140625" style="154"/>
    <col min="3595" max="3595" width="20.140625" style="154" bestFit="1" customWidth="1"/>
    <col min="3596" max="3844" width="9.140625" style="154"/>
    <col min="3845" max="3845" width="9.5703125" style="154" bestFit="1" customWidth="1"/>
    <col min="3846" max="3850" width="9.140625" style="154"/>
    <col min="3851" max="3851" width="20.140625" style="154" bestFit="1" customWidth="1"/>
    <col min="3852" max="4100" width="9.140625" style="154"/>
    <col min="4101" max="4101" width="9.5703125" style="154" bestFit="1" customWidth="1"/>
    <col min="4102" max="4106" width="9.140625" style="154"/>
    <col min="4107" max="4107" width="20.140625" style="154" bestFit="1" customWidth="1"/>
    <col min="4108" max="4356" width="9.140625" style="154"/>
    <col min="4357" max="4357" width="9.5703125" style="154" bestFit="1" customWidth="1"/>
    <col min="4358" max="4362" width="9.140625" style="154"/>
    <col min="4363" max="4363" width="20.140625" style="154" bestFit="1" customWidth="1"/>
    <col min="4364" max="4612" width="9.140625" style="154"/>
    <col min="4613" max="4613" width="9.5703125" style="154" bestFit="1" customWidth="1"/>
    <col min="4614" max="4618" width="9.140625" style="154"/>
    <col min="4619" max="4619" width="20.140625" style="154" bestFit="1" customWidth="1"/>
    <col min="4620" max="4868" width="9.140625" style="154"/>
    <col min="4869" max="4869" width="9.5703125" style="154" bestFit="1" customWidth="1"/>
    <col min="4870" max="4874" width="9.140625" style="154"/>
    <col min="4875" max="4875" width="20.140625" style="154" bestFit="1" customWidth="1"/>
    <col min="4876" max="5124" width="9.140625" style="154"/>
    <col min="5125" max="5125" width="9.5703125" style="154" bestFit="1" customWidth="1"/>
    <col min="5126" max="5130" width="9.140625" style="154"/>
    <col min="5131" max="5131" width="20.140625" style="154" bestFit="1" customWidth="1"/>
    <col min="5132" max="5380" width="9.140625" style="154"/>
    <col min="5381" max="5381" width="9.5703125" style="154" bestFit="1" customWidth="1"/>
    <col min="5382" max="5386" width="9.140625" style="154"/>
    <col min="5387" max="5387" width="20.140625" style="154" bestFit="1" customWidth="1"/>
    <col min="5388" max="5636" width="9.140625" style="154"/>
    <col min="5637" max="5637" width="9.5703125" style="154" bestFit="1" customWidth="1"/>
    <col min="5638" max="5642" width="9.140625" style="154"/>
    <col min="5643" max="5643" width="20.140625" style="154" bestFit="1" customWidth="1"/>
    <col min="5644" max="5892" width="9.140625" style="154"/>
    <col min="5893" max="5893" width="9.5703125" style="154" bestFit="1" customWidth="1"/>
    <col min="5894" max="5898" width="9.140625" style="154"/>
    <col min="5899" max="5899" width="20.140625" style="154" bestFit="1" customWidth="1"/>
    <col min="5900" max="6148" width="9.140625" style="154"/>
    <col min="6149" max="6149" width="9.5703125" style="154" bestFit="1" customWidth="1"/>
    <col min="6150" max="6154" width="9.140625" style="154"/>
    <col min="6155" max="6155" width="20.140625" style="154" bestFit="1" customWidth="1"/>
    <col min="6156" max="6404" width="9.140625" style="154"/>
    <col min="6405" max="6405" width="9.5703125" style="154" bestFit="1" customWidth="1"/>
    <col min="6406" max="6410" width="9.140625" style="154"/>
    <col min="6411" max="6411" width="20.140625" style="154" bestFit="1" customWidth="1"/>
    <col min="6412" max="6660" width="9.140625" style="154"/>
    <col min="6661" max="6661" width="9.5703125" style="154" bestFit="1" customWidth="1"/>
    <col min="6662" max="6666" width="9.140625" style="154"/>
    <col min="6667" max="6667" width="20.140625" style="154" bestFit="1" customWidth="1"/>
    <col min="6668" max="6916" width="9.140625" style="154"/>
    <col min="6917" max="6917" width="9.5703125" style="154" bestFit="1" customWidth="1"/>
    <col min="6918" max="6922" width="9.140625" style="154"/>
    <col min="6923" max="6923" width="20.140625" style="154" bestFit="1" customWidth="1"/>
    <col min="6924" max="7172" width="9.140625" style="154"/>
    <col min="7173" max="7173" width="9.5703125" style="154" bestFit="1" customWidth="1"/>
    <col min="7174" max="7178" width="9.140625" style="154"/>
    <col min="7179" max="7179" width="20.140625" style="154" bestFit="1" customWidth="1"/>
    <col min="7180" max="7428" width="9.140625" style="154"/>
    <col min="7429" max="7429" width="9.5703125" style="154" bestFit="1" customWidth="1"/>
    <col min="7430" max="7434" width="9.140625" style="154"/>
    <col min="7435" max="7435" width="20.140625" style="154" bestFit="1" customWidth="1"/>
    <col min="7436" max="7684" width="9.140625" style="154"/>
    <col min="7685" max="7685" width="9.5703125" style="154" bestFit="1" customWidth="1"/>
    <col min="7686" max="7690" width="9.140625" style="154"/>
    <col min="7691" max="7691" width="20.140625" style="154" bestFit="1" customWidth="1"/>
    <col min="7692" max="7940" width="9.140625" style="154"/>
    <col min="7941" max="7941" width="9.5703125" style="154" bestFit="1" customWidth="1"/>
    <col min="7942" max="7946" width="9.140625" style="154"/>
    <col min="7947" max="7947" width="20.140625" style="154" bestFit="1" customWidth="1"/>
    <col min="7948" max="8196" width="9.140625" style="154"/>
    <col min="8197" max="8197" width="9.5703125" style="154" bestFit="1" customWidth="1"/>
    <col min="8198" max="8202" width="9.140625" style="154"/>
    <col min="8203" max="8203" width="20.140625" style="154" bestFit="1" customWidth="1"/>
    <col min="8204" max="8452" width="9.140625" style="154"/>
    <col min="8453" max="8453" width="9.5703125" style="154" bestFit="1" customWidth="1"/>
    <col min="8454" max="8458" width="9.140625" style="154"/>
    <col min="8459" max="8459" width="20.140625" style="154" bestFit="1" customWidth="1"/>
    <col min="8460" max="8708" width="9.140625" style="154"/>
    <col min="8709" max="8709" width="9.5703125" style="154" bestFit="1" customWidth="1"/>
    <col min="8710" max="8714" width="9.140625" style="154"/>
    <col min="8715" max="8715" width="20.140625" style="154" bestFit="1" customWidth="1"/>
    <col min="8716" max="8964" width="9.140625" style="154"/>
    <col min="8965" max="8965" width="9.5703125" style="154" bestFit="1" customWidth="1"/>
    <col min="8966" max="8970" width="9.140625" style="154"/>
    <col min="8971" max="8971" width="20.140625" style="154" bestFit="1" customWidth="1"/>
    <col min="8972" max="9220" width="9.140625" style="154"/>
    <col min="9221" max="9221" width="9.5703125" style="154" bestFit="1" customWidth="1"/>
    <col min="9222" max="9226" width="9.140625" style="154"/>
    <col min="9227" max="9227" width="20.140625" style="154" bestFit="1" customWidth="1"/>
    <col min="9228" max="9476" width="9.140625" style="154"/>
    <col min="9477" max="9477" width="9.5703125" style="154" bestFit="1" customWidth="1"/>
    <col min="9478" max="9482" width="9.140625" style="154"/>
    <col min="9483" max="9483" width="20.140625" style="154" bestFit="1" customWidth="1"/>
    <col min="9484" max="9732" width="9.140625" style="154"/>
    <col min="9733" max="9733" width="9.5703125" style="154" bestFit="1" customWidth="1"/>
    <col min="9734" max="9738" width="9.140625" style="154"/>
    <col min="9739" max="9739" width="20.140625" style="154" bestFit="1" customWidth="1"/>
    <col min="9740" max="9988" width="9.140625" style="154"/>
    <col min="9989" max="9989" width="9.5703125" style="154" bestFit="1" customWidth="1"/>
    <col min="9990" max="9994" width="9.140625" style="154"/>
    <col min="9995" max="9995" width="20.140625" style="154" bestFit="1" customWidth="1"/>
    <col min="9996" max="10244" width="9.140625" style="154"/>
    <col min="10245" max="10245" width="9.5703125" style="154" bestFit="1" customWidth="1"/>
    <col min="10246" max="10250" width="9.140625" style="154"/>
    <col min="10251" max="10251" width="20.140625" style="154" bestFit="1" customWidth="1"/>
    <col min="10252" max="10500" width="9.140625" style="154"/>
    <col min="10501" max="10501" width="9.5703125" style="154" bestFit="1" customWidth="1"/>
    <col min="10502" max="10506" width="9.140625" style="154"/>
    <col min="10507" max="10507" width="20.140625" style="154" bestFit="1" customWidth="1"/>
    <col min="10508" max="10756" width="9.140625" style="154"/>
    <col min="10757" max="10757" width="9.5703125" style="154" bestFit="1" customWidth="1"/>
    <col min="10758" max="10762" width="9.140625" style="154"/>
    <col min="10763" max="10763" width="20.140625" style="154" bestFit="1" customWidth="1"/>
    <col min="10764" max="11012" width="9.140625" style="154"/>
    <col min="11013" max="11013" width="9.5703125" style="154" bestFit="1" customWidth="1"/>
    <col min="11014" max="11018" width="9.140625" style="154"/>
    <col min="11019" max="11019" width="20.140625" style="154" bestFit="1" customWidth="1"/>
    <col min="11020" max="11268" width="9.140625" style="154"/>
    <col min="11269" max="11269" width="9.5703125" style="154" bestFit="1" customWidth="1"/>
    <col min="11270" max="11274" width="9.140625" style="154"/>
    <col min="11275" max="11275" width="20.140625" style="154" bestFit="1" customWidth="1"/>
    <col min="11276" max="11524" width="9.140625" style="154"/>
    <col min="11525" max="11525" width="9.5703125" style="154" bestFit="1" customWidth="1"/>
    <col min="11526" max="11530" width="9.140625" style="154"/>
    <col min="11531" max="11531" width="20.140625" style="154" bestFit="1" customWidth="1"/>
    <col min="11532" max="11780" width="9.140625" style="154"/>
    <col min="11781" max="11781" width="9.5703125" style="154" bestFit="1" customWidth="1"/>
    <col min="11782" max="11786" width="9.140625" style="154"/>
    <col min="11787" max="11787" width="20.140625" style="154" bestFit="1" customWidth="1"/>
    <col min="11788" max="12036" width="9.140625" style="154"/>
    <col min="12037" max="12037" width="9.5703125" style="154" bestFit="1" customWidth="1"/>
    <col min="12038" max="12042" width="9.140625" style="154"/>
    <col min="12043" max="12043" width="20.140625" style="154" bestFit="1" customWidth="1"/>
    <col min="12044" max="12292" width="9.140625" style="154"/>
    <col min="12293" max="12293" width="9.5703125" style="154" bestFit="1" customWidth="1"/>
    <col min="12294" max="12298" width="9.140625" style="154"/>
    <col min="12299" max="12299" width="20.140625" style="154" bestFit="1" customWidth="1"/>
    <col min="12300" max="12548" width="9.140625" style="154"/>
    <col min="12549" max="12549" width="9.5703125" style="154" bestFit="1" customWidth="1"/>
    <col min="12550" max="12554" width="9.140625" style="154"/>
    <col min="12555" max="12555" width="20.140625" style="154" bestFit="1" customWidth="1"/>
    <col min="12556" max="12804" width="9.140625" style="154"/>
    <col min="12805" max="12805" width="9.5703125" style="154" bestFit="1" customWidth="1"/>
    <col min="12806" max="12810" width="9.140625" style="154"/>
    <col min="12811" max="12811" width="20.140625" style="154" bestFit="1" customWidth="1"/>
    <col min="12812" max="13060" width="9.140625" style="154"/>
    <col min="13061" max="13061" width="9.5703125" style="154" bestFit="1" customWidth="1"/>
    <col min="13062" max="13066" width="9.140625" style="154"/>
    <col min="13067" max="13067" width="20.140625" style="154" bestFit="1" customWidth="1"/>
    <col min="13068" max="13316" width="9.140625" style="154"/>
    <col min="13317" max="13317" width="9.5703125" style="154" bestFit="1" customWidth="1"/>
    <col min="13318" max="13322" width="9.140625" style="154"/>
    <col min="13323" max="13323" width="20.140625" style="154" bestFit="1" customWidth="1"/>
    <col min="13324" max="13572" width="9.140625" style="154"/>
    <col min="13573" max="13573" width="9.5703125" style="154" bestFit="1" customWidth="1"/>
    <col min="13574" max="13578" width="9.140625" style="154"/>
    <col min="13579" max="13579" width="20.140625" style="154" bestFit="1" customWidth="1"/>
    <col min="13580" max="13828" width="9.140625" style="154"/>
    <col min="13829" max="13829" width="9.5703125" style="154" bestFit="1" customWidth="1"/>
    <col min="13830" max="13834" width="9.140625" style="154"/>
    <col min="13835" max="13835" width="20.140625" style="154" bestFit="1" customWidth="1"/>
    <col min="13836" max="14084" width="9.140625" style="154"/>
    <col min="14085" max="14085" width="9.5703125" style="154" bestFit="1" customWidth="1"/>
    <col min="14086" max="14090" width="9.140625" style="154"/>
    <col min="14091" max="14091" width="20.140625" style="154" bestFit="1" customWidth="1"/>
    <col min="14092" max="14340" width="9.140625" style="154"/>
    <col min="14341" max="14341" width="9.5703125" style="154" bestFit="1" customWidth="1"/>
    <col min="14342" max="14346" width="9.140625" style="154"/>
    <col min="14347" max="14347" width="20.140625" style="154" bestFit="1" customWidth="1"/>
    <col min="14348" max="14596" width="9.140625" style="154"/>
    <col min="14597" max="14597" width="9.5703125" style="154" bestFit="1" customWidth="1"/>
    <col min="14598" max="14602" width="9.140625" style="154"/>
    <col min="14603" max="14603" width="20.140625" style="154" bestFit="1" customWidth="1"/>
    <col min="14604" max="14852" width="9.140625" style="154"/>
    <col min="14853" max="14853" width="9.5703125" style="154" bestFit="1" customWidth="1"/>
    <col min="14854" max="14858" width="9.140625" style="154"/>
    <col min="14859" max="14859" width="20.140625" style="154" bestFit="1" customWidth="1"/>
    <col min="14860" max="15108" width="9.140625" style="154"/>
    <col min="15109" max="15109" width="9.5703125" style="154" bestFit="1" customWidth="1"/>
    <col min="15110" max="15114" width="9.140625" style="154"/>
    <col min="15115" max="15115" width="20.140625" style="154" bestFit="1" customWidth="1"/>
    <col min="15116" max="15364" width="9.140625" style="154"/>
    <col min="15365" max="15365" width="9.5703125" style="154" bestFit="1" customWidth="1"/>
    <col min="15366" max="15370" width="9.140625" style="154"/>
    <col min="15371" max="15371" width="20.140625" style="154" bestFit="1" customWidth="1"/>
    <col min="15372" max="15620" width="9.140625" style="154"/>
    <col min="15621" max="15621" width="9.5703125" style="154" bestFit="1" customWidth="1"/>
    <col min="15622" max="15626" width="9.140625" style="154"/>
    <col min="15627" max="15627" width="20.140625" style="154" bestFit="1" customWidth="1"/>
    <col min="15628" max="15876" width="9.140625" style="154"/>
    <col min="15877" max="15877" width="9.5703125" style="154" bestFit="1" customWidth="1"/>
    <col min="15878" max="15882" width="9.140625" style="154"/>
    <col min="15883" max="15883" width="20.140625" style="154" bestFit="1" customWidth="1"/>
    <col min="15884" max="16132" width="9.140625" style="154"/>
    <col min="16133" max="16133" width="9.5703125" style="154" bestFit="1" customWidth="1"/>
    <col min="16134" max="16138" width="9.140625" style="154"/>
    <col min="16139" max="16139" width="20.140625" style="154" bestFit="1" customWidth="1"/>
    <col min="16140" max="16384" width="9.140625" style="154"/>
  </cols>
  <sheetData>
    <row r="1" spans="1:12" ht="14.25" x14ac:dyDescent="0.2">
      <c r="A1" s="146"/>
      <c r="B1" s="146"/>
      <c r="C1" s="146"/>
      <c r="D1" s="146"/>
      <c r="E1" s="146"/>
      <c r="F1" s="805" t="s">
        <v>312</v>
      </c>
      <c r="G1" s="805"/>
      <c r="H1" s="805" t="s">
        <v>313</v>
      </c>
      <c r="I1" s="805"/>
      <c r="J1" s="146"/>
      <c r="K1" s="146"/>
      <c r="L1" s="146"/>
    </row>
    <row r="2" spans="1:12" ht="15" x14ac:dyDescent="0.25">
      <c r="A2" s="146"/>
      <c r="B2" s="146"/>
      <c r="C2" s="146"/>
      <c r="D2" s="146"/>
      <c r="E2" s="146"/>
      <c r="F2" s="146" t="s">
        <v>123</v>
      </c>
      <c r="G2" s="146" t="s">
        <v>69</v>
      </c>
      <c r="H2" s="146" t="s">
        <v>123</v>
      </c>
      <c r="I2" s="146" t="s">
        <v>69</v>
      </c>
      <c r="J2" s="146"/>
      <c r="K2" s="391" t="s">
        <v>314</v>
      </c>
      <c r="L2" s="391">
        <v>390</v>
      </c>
    </row>
    <row r="3" spans="1:12" ht="40.5" customHeight="1" x14ac:dyDescent="0.35">
      <c r="A3" s="146" t="s">
        <v>315</v>
      </c>
      <c r="B3" s="146" t="s">
        <v>330</v>
      </c>
      <c r="C3" s="146" t="s">
        <v>331</v>
      </c>
      <c r="D3" s="408" t="s">
        <v>333</v>
      </c>
      <c r="E3" s="408" t="s">
        <v>334</v>
      </c>
      <c r="F3" s="146" t="s">
        <v>316</v>
      </c>
      <c r="G3" s="146" t="s">
        <v>316</v>
      </c>
      <c r="H3" s="146" t="s">
        <v>316</v>
      </c>
      <c r="I3" s="146" t="s">
        <v>316</v>
      </c>
      <c r="J3" s="146"/>
      <c r="K3" s="391" t="s">
        <v>317</v>
      </c>
      <c r="L3" s="391">
        <v>398</v>
      </c>
    </row>
    <row r="4" spans="1:12" ht="15" x14ac:dyDescent="0.25">
      <c r="A4" s="393">
        <f>300</f>
        <v>300</v>
      </c>
      <c r="B4" s="146">
        <f t="shared" ref="B4:B8" si="0">A4+115</f>
        <v>415</v>
      </c>
      <c r="C4" s="146">
        <f>$L$9+(A4*F4/1000)</f>
        <v>114.24996067021256</v>
      </c>
      <c r="D4" s="146">
        <f>(B4-140.8)/2.4</f>
        <v>114.25</v>
      </c>
      <c r="E4" s="146">
        <f>(C4-D4)^2</f>
        <v>1.546832180156889E-9</v>
      </c>
      <c r="F4" s="407">
        <v>628.08320223404178</v>
      </c>
      <c r="G4" s="407">
        <v>628.08320223404178</v>
      </c>
      <c r="H4" s="392">
        <f>(($L$6*($L$2-$L$8))/A4)+$L$2</f>
        <v>631.5</v>
      </c>
      <c r="I4" s="392">
        <f>(($L$6*($L$3-$L$8))/A4)+$L$3</f>
        <v>641.36666666666667</v>
      </c>
      <c r="J4" s="146"/>
      <c r="K4" s="391" t="s">
        <v>318</v>
      </c>
      <c r="L4" s="391">
        <v>270</v>
      </c>
    </row>
    <row r="5" spans="1:12" ht="15" x14ac:dyDescent="0.25">
      <c r="A5" s="146">
        <f t="shared" ref="A5:A8" si="1">A4+10</f>
        <v>310</v>
      </c>
      <c r="B5" s="146">
        <f t="shared" si="0"/>
        <v>425</v>
      </c>
      <c r="C5" s="146">
        <f t="shared" ref="C5:C8" si="2">$L$9+(A5*F5/1000)</f>
        <v>118.41683832802435</v>
      </c>
      <c r="D5" s="146">
        <f t="shared" ref="D5:D8" si="3">(B5-140.8)/2.4</f>
        <v>118.41666666666667</v>
      </c>
      <c r="E5" s="146">
        <f t="shared" ref="E5:E8" si="4">(C5-D5)^2</f>
        <v>2.9467621721641589E-8</v>
      </c>
      <c r="F5" s="407">
        <v>621.2639946065301</v>
      </c>
      <c r="G5" s="407">
        <v>621.2639946065301</v>
      </c>
      <c r="H5" s="392">
        <f>(($L$6*($L$2-$L$8))/A5)+$L$2</f>
        <v>623.70967741935488</v>
      </c>
      <c r="I5" s="392">
        <f>(($L$6*($L$3-$L$8))/A5)+$L$3</f>
        <v>633.51612903225805</v>
      </c>
      <c r="J5" s="146"/>
      <c r="K5" s="391" t="s">
        <v>319</v>
      </c>
      <c r="L5" s="391">
        <v>270</v>
      </c>
    </row>
    <row r="6" spans="1:12" ht="15" x14ac:dyDescent="0.25">
      <c r="A6" s="146">
        <f t="shared" si="1"/>
        <v>320</v>
      </c>
      <c r="B6" s="146">
        <f t="shared" si="0"/>
        <v>435</v>
      </c>
      <c r="C6" s="146">
        <f t="shared" si="2"/>
        <v>122.58333839928734</v>
      </c>
      <c r="D6" s="146">
        <f t="shared" si="3"/>
        <v>122.58333333333333</v>
      </c>
      <c r="E6" s="146">
        <f t="shared" si="4"/>
        <v>2.5663890068078614E-11</v>
      </c>
      <c r="F6" s="407">
        <v>614.86980749777297</v>
      </c>
      <c r="G6" s="407">
        <v>614.86980749777297</v>
      </c>
      <c r="H6" s="392">
        <f>(($L$6*($L$2-$L$8))/A6)+$L$2</f>
        <v>616.40625</v>
      </c>
      <c r="I6" s="392">
        <f>(($L$6*($L$3-$L$8))/A6)+$L$3</f>
        <v>626.15625</v>
      </c>
      <c r="J6" s="146"/>
      <c r="K6" s="391" t="s">
        <v>320</v>
      </c>
      <c r="L6" s="391">
        <v>70</v>
      </c>
    </row>
    <row r="7" spans="1:12" ht="15" x14ac:dyDescent="0.25">
      <c r="A7" s="146">
        <f t="shared" si="1"/>
        <v>330</v>
      </c>
      <c r="B7" s="146">
        <f t="shared" si="0"/>
        <v>445</v>
      </c>
      <c r="C7" s="146">
        <f t="shared" si="2"/>
        <v>126.75013061146682</v>
      </c>
      <c r="D7" s="146">
        <f t="shared" si="3"/>
        <v>126.75</v>
      </c>
      <c r="E7" s="146">
        <f t="shared" si="4"/>
        <v>1.7059355263661674E-8</v>
      </c>
      <c r="F7" s="407">
        <v>608.8640321559601</v>
      </c>
      <c r="G7" s="407">
        <v>608.8640321559601</v>
      </c>
      <c r="H7" s="392">
        <f>(($L$6*($L$2-$L$8))/A7)+$L$2</f>
        <v>609.5454545454545</v>
      </c>
      <c r="I7" s="392">
        <f>(($L$6*($L$3-$L$8))/A7)+$L$3</f>
        <v>619.24242424242425</v>
      </c>
      <c r="J7" s="146"/>
      <c r="K7" s="391" t="s">
        <v>321</v>
      </c>
      <c r="L7" s="391">
        <v>115</v>
      </c>
    </row>
    <row r="8" spans="1:12" ht="15" x14ac:dyDescent="0.25">
      <c r="A8" s="146">
        <f t="shared" si="1"/>
        <v>340</v>
      </c>
      <c r="B8" s="146">
        <f t="shared" si="0"/>
        <v>455</v>
      </c>
      <c r="C8" s="146">
        <f t="shared" si="2"/>
        <v>130.91663450964757</v>
      </c>
      <c r="D8" s="146">
        <f t="shared" si="3"/>
        <v>130.91666666666666</v>
      </c>
      <c r="E8" s="146">
        <f t="shared" si="4"/>
        <v>1.0340738768821512E-9</v>
      </c>
      <c r="F8" s="407">
        <v>603.21068973425758</v>
      </c>
      <c r="G8" s="407">
        <v>603.21068973425758</v>
      </c>
      <c r="H8" s="392">
        <f>(($L$6*($L$2-$L$8))/A8)+$L$2</f>
        <v>603.08823529411768</v>
      </c>
      <c r="I8" s="392">
        <f>(($L$6*($L$3-$L$8))/A8)+$L$3</f>
        <v>612.73529411764707</v>
      </c>
      <c r="J8" s="146"/>
      <c r="K8" s="391" t="s">
        <v>322</v>
      </c>
      <c r="L8" s="409">
        <f>Config!D7</f>
        <v>-645</v>
      </c>
    </row>
    <row r="9" spans="1:12" ht="14.25" x14ac:dyDescent="0.2">
      <c r="J9" s="146"/>
      <c r="K9" s="146" t="s">
        <v>332</v>
      </c>
      <c r="L9" s="146">
        <f>L7*L8/1000</f>
        <v>-74.174999999999997</v>
      </c>
    </row>
    <row r="10" spans="1:12" ht="15" x14ac:dyDescent="0.25">
      <c r="A10" s="393"/>
      <c r="B10" s="393"/>
      <c r="C10" s="393"/>
      <c r="D10" s="393"/>
      <c r="E10" s="393">
        <f>SUM(E4:E8)</f>
        <v>4.9133546932410377E-8</v>
      </c>
      <c r="F10" s="392"/>
      <c r="G10" s="146"/>
      <c r="H10" s="805"/>
      <c r="I10" s="805"/>
      <c r="J10" s="146"/>
      <c r="K10" s="146"/>
      <c r="L10" s="146"/>
    </row>
    <row r="11" spans="1:12" ht="14.25" x14ac:dyDescent="0.2">
      <c r="A11" s="146"/>
      <c r="B11" s="146"/>
      <c r="C11" s="146"/>
      <c r="D11" s="146"/>
      <c r="E11" s="146"/>
      <c r="F11" s="146"/>
      <c r="G11" s="146"/>
      <c r="H11" s="146"/>
      <c r="I11" s="146"/>
      <c r="J11" s="146"/>
      <c r="K11" s="146"/>
      <c r="L11" s="146"/>
    </row>
    <row r="12" spans="1:12" ht="14.25" x14ac:dyDescent="0.2">
      <c r="A12" s="146"/>
      <c r="B12" s="146"/>
      <c r="C12" s="146"/>
      <c r="D12" s="146"/>
      <c r="E12" s="146"/>
      <c r="F12" s="146"/>
      <c r="G12" s="146"/>
      <c r="H12" s="146"/>
      <c r="I12" s="146"/>
      <c r="J12" s="146"/>
      <c r="K12" s="146"/>
      <c r="L12" s="146"/>
    </row>
    <row r="13" spans="1:12" ht="14.25" x14ac:dyDescent="0.2">
      <c r="A13" s="394"/>
      <c r="B13" s="394"/>
      <c r="C13" s="394"/>
      <c r="D13" s="394"/>
      <c r="E13" s="394"/>
      <c r="F13" s="394"/>
      <c r="G13" s="394"/>
      <c r="H13" s="394"/>
      <c r="I13" s="394"/>
    </row>
    <row r="14" spans="1:12" ht="14.25" x14ac:dyDescent="0.2">
      <c r="A14" s="394"/>
      <c r="B14" s="394"/>
      <c r="C14" s="394"/>
      <c r="D14" s="394"/>
      <c r="E14" s="394"/>
      <c r="F14" s="394"/>
      <c r="G14" s="394"/>
      <c r="H14" s="394"/>
      <c r="I14" s="394"/>
      <c r="J14" s="146"/>
      <c r="K14" s="146"/>
      <c r="L14" s="146"/>
    </row>
    <row r="15" spans="1:12" ht="14.25" x14ac:dyDescent="0.2">
      <c r="A15" s="394"/>
      <c r="B15" s="394"/>
      <c r="C15" s="394"/>
      <c r="D15" s="394"/>
      <c r="E15" s="394"/>
      <c r="F15" s="394"/>
      <c r="G15" s="394"/>
      <c r="H15" s="394"/>
      <c r="I15" s="394"/>
      <c r="J15" s="146"/>
      <c r="K15" s="146"/>
      <c r="L15" s="146"/>
    </row>
    <row r="16" spans="1:12" ht="14.25" x14ac:dyDescent="0.2">
      <c r="A16" s="394"/>
      <c r="B16" s="394"/>
      <c r="C16" s="394"/>
      <c r="D16" s="394"/>
      <c r="E16" s="394"/>
      <c r="F16" s="394"/>
      <c r="G16" s="394"/>
      <c r="H16" s="394"/>
      <c r="I16" s="394"/>
      <c r="J16" s="146"/>
      <c r="K16" s="146"/>
      <c r="L16" s="146"/>
    </row>
    <row r="17" spans="1:12" ht="14.25" x14ac:dyDescent="0.2">
      <c r="A17" s="394"/>
      <c r="B17" s="394"/>
      <c r="C17" s="394"/>
      <c r="D17" s="394"/>
      <c r="E17" s="394"/>
      <c r="F17" s="394"/>
      <c r="G17" s="394"/>
      <c r="H17" s="394"/>
      <c r="I17" s="394"/>
      <c r="J17" s="146"/>
      <c r="K17" s="146"/>
      <c r="L17" s="146"/>
    </row>
    <row r="18" spans="1:12" ht="14.25" x14ac:dyDescent="0.2">
      <c r="A18" s="394"/>
      <c r="B18" s="394"/>
      <c r="C18" s="394"/>
      <c r="D18" s="394"/>
      <c r="E18" s="394"/>
      <c r="F18" s="394"/>
      <c r="G18" s="394"/>
      <c r="H18" s="394"/>
      <c r="I18" s="394"/>
      <c r="J18" s="146"/>
      <c r="K18" s="146"/>
      <c r="L18" s="146"/>
    </row>
    <row r="19" spans="1:12" ht="14.25" x14ac:dyDescent="0.2">
      <c r="A19" s="394"/>
      <c r="B19" s="394"/>
      <c r="C19" s="394"/>
      <c r="D19" s="394"/>
      <c r="E19" s="394"/>
      <c r="F19" s="394"/>
      <c r="G19" s="394"/>
      <c r="H19" s="394"/>
      <c r="I19" s="394"/>
    </row>
  </sheetData>
  <mergeCells count="3">
    <mergeCell ref="F1:G1"/>
    <mergeCell ref="H1:I1"/>
    <mergeCell ref="H10:I1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dimension ref="A1:J16"/>
  <sheetViews>
    <sheetView workbookViewId="0">
      <selection activeCell="N21" sqref="N21"/>
    </sheetView>
  </sheetViews>
  <sheetFormatPr baseColWidth="10" defaultColWidth="9.140625" defaultRowHeight="12.75" x14ac:dyDescent="0.2"/>
  <cols>
    <col min="1" max="2" width="7" style="154" customWidth="1"/>
    <col min="3" max="10" width="4.42578125" style="154" customWidth="1"/>
    <col min="11" max="256" width="9.140625" style="154"/>
    <col min="257" max="258" width="7" style="154" customWidth="1"/>
    <col min="259" max="266" width="4.42578125" style="154" customWidth="1"/>
    <col min="267" max="512" width="9.140625" style="154"/>
    <col min="513" max="514" width="7" style="154" customWidth="1"/>
    <col min="515" max="522" width="4.42578125" style="154" customWidth="1"/>
    <col min="523" max="768" width="9.140625" style="154"/>
    <col min="769" max="770" width="7" style="154" customWidth="1"/>
    <col min="771" max="778" width="4.42578125" style="154" customWidth="1"/>
    <col min="779" max="1024" width="9.140625" style="154"/>
    <col min="1025" max="1026" width="7" style="154" customWidth="1"/>
    <col min="1027" max="1034" width="4.42578125" style="154" customWidth="1"/>
    <col min="1035" max="1280" width="9.140625" style="154"/>
    <col min="1281" max="1282" width="7" style="154" customWidth="1"/>
    <col min="1283" max="1290" width="4.42578125" style="154" customWidth="1"/>
    <col min="1291" max="1536" width="9.140625" style="154"/>
    <col min="1537" max="1538" width="7" style="154" customWidth="1"/>
    <col min="1539" max="1546" width="4.42578125" style="154" customWidth="1"/>
    <col min="1547" max="1792" width="9.140625" style="154"/>
    <col min="1793" max="1794" width="7" style="154" customWidth="1"/>
    <col min="1795" max="1802" width="4.42578125" style="154" customWidth="1"/>
    <col min="1803" max="2048" width="9.140625" style="154"/>
    <col min="2049" max="2050" width="7" style="154" customWidth="1"/>
    <col min="2051" max="2058" width="4.42578125" style="154" customWidth="1"/>
    <col min="2059" max="2304" width="9.140625" style="154"/>
    <col min="2305" max="2306" width="7" style="154" customWidth="1"/>
    <col min="2307" max="2314" width="4.42578125" style="154" customWidth="1"/>
    <col min="2315" max="2560" width="9.140625" style="154"/>
    <col min="2561" max="2562" width="7" style="154" customWidth="1"/>
    <col min="2563" max="2570" width="4.42578125" style="154" customWidth="1"/>
    <col min="2571" max="2816" width="9.140625" style="154"/>
    <col min="2817" max="2818" width="7" style="154" customWidth="1"/>
    <col min="2819" max="2826" width="4.42578125" style="154" customWidth="1"/>
    <col min="2827" max="3072" width="9.140625" style="154"/>
    <col min="3073" max="3074" width="7" style="154" customWidth="1"/>
    <col min="3075" max="3082" width="4.42578125" style="154" customWidth="1"/>
    <col min="3083" max="3328" width="9.140625" style="154"/>
    <col min="3329" max="3330" width="7" style="154" customWidth="1"/>
    <col min="3331" max="3338" width="4.42578125" style="154" customWidth="1"/>
    <col min="3339" max="3584" width="9.140625" style="154"/>
    <col min="3585" max="3586" width="7" style="154" customWidth="1"/>
    <col min="3587" max="3594" width="4.42578125" style="154" customWidth="1"/>
    <col min="3595" max="3840" width="9.140625" style="154"/>
    <col min="3841" max="3842" width="7" style="154" customWidth="1"/>
    <col min="3843" max="3850" width="4.42578125" style="154" customWidth="1"/>
    <col min="3851" max="4096" width="9.140625" style="154"/>
    <col min="4097" max="4098" width="7" style="154" customWidth="1"/>
    <col min="4099" max="4106" width="4.42578125" style="154" customWidth="1"/>
    <col min="4107" max="4352" width="9.140625" style="154"/>
    <col min="4353" max="4354" width="7" style="154" customWidth="1"/>
    <col min="4355" max="4362" width="4.42578125" style="154" customWidth="1"/>
    <col min="4363" max="4608" width="9.140625" style="154"/>
    <col min="4609" max="4610" width="7" style="154" customWidth="1"/>
    <col min="4611" max="4618" width="4.42578125" style="154" customWidth="1"/>
    <col min="4619" max="4864" width="9.140625" style="154"/>
    <col min="4865" max="4866" width="7" style="154" customWidth="1"/>
    <col min="4867" max="4874" width="4.42578125" style="154" customWidth="1"/>
    <col min="4875" max="5120" width="9.140625" style="154"/>
    <col min="5121" max="5122" width="7" style="154" customWidth="1"/>
    <col min="5123" max="5130" width="4.42578125" style="154" customWidth="1"/>
    <col min="5131" max="5376" width="9.140625" style="154"/>
    <col min="5377" max="5378" width="7" style="154" customWidth="1"/>
    <col min="5379" max="5386" width="4.42578125" style="154" customWidth="1"/>
    <col min="5387" max="5632" width="9.140625" style="154"/>
    <col min="5633" max="5634" width="7" style="154" customWidth="1"/>
    <col min="5635" max="5642" width="4.42578125" style="154" customWidth="1"/>
    <col min="5643" max="5888" width="9.140625" style="154"/>
    <col min="5889" max="5890" width="7" style="154" customWidth="1"/>
    <col min="5891" max="5898" width="4.42578125" style="154" customWidth="1"/>
    <col min="5899" max="6144" width="9.140625" style="154"/>
    <col min="6145" max="6146" width="7" style="154" customWidth="1"/>
    <col min="6147" max="6154" width="4.42578125" style="154" customWidth="1"/>
    <col min="6155" max="6400" width="9.140625" style="154"/>
    <col min="6401" max="6402" width="7" style="154" customWidth="1"/>
    <col min="6403" max="6410" width="4.42578125" style="154" customWidth="1"/>
    <col min="6411" max="6656" width="9.140625" style="154"/>
    <col min="6657" max="6658" width="7" style="154" customWidth="1"/>
    <col min="6659" max="6666" width="4.42578125" style="154" customWidth="1"/>
    <col min="6667" max="6912" width="9.140625" style="154"/>
    <col min="6913" max="6914" width="7" style="154" customWidth="1"/>
    <col min="6915" max="6922" width="4.42578125" style="154" customWidth="1"/>
    <col min="6923" max="7168" width="9.140625" style="154"/>
    <col min="7169" max="7170" width="7" style="154" customWidth="1"/>
    <col min="7171" max="7178" width="4.42578125" style="154" customWidth="1"/>
    <col min="7179" max="7424" width="9.140625" style="154"/>
    <col min="7425" max="7426" width="7" style="154" customWidth="1"/>
    <col min="7427" max="7434" width="4.42578125" style="154" customWidth="1"/>
    <col min="7435" max="7680" width="9.140625" style="154"/>
    <col min="7681" max="7682" width="7" style="154" customWidth="1"/>
    <col min="7683" max="7690" width="4.42578125" style="154" customWidth="1"/>
    <col min="7691" max="7936" width="9.140625" style="154"/>
    <col min="7937" max="7938" width="7" style="154" customWidth="1"/>
    <col min="7939" max="7946" width="4.42578125" style="154" customWidth="1"/>
    <col min="7947" max="8192" width="9.140625" style="154"/>
    <col min="8193" max="8194" width="7" style="154" customWidth="1"/>
    <col min="8195" max="8202" width="4.42578125" style="154" customWidth="1"/>
    <col min="8203" max="8448" width="9.140625" style="154"/>
    <col min="8449" max="8450" width="7" style="154" customWidth="1"/>
    <col min="8451" max="8458" width="4.42578125" style="154" customWidth="1"/>
    <col min="8459" max="8704" width="9.140625" style="154"/>
    <col min="8705" max="8706" width="7" style="154" customWidth="1"/>
    <col min="8707" max="8714" width="4.42578125" style="154" customWidth="1"/>
    <col min="8715" max="8960" width="9.140625" style="154"/>
    <col min="8961" max="8962" width="7" style="154" customWidth="1"/>
    <col min="8963" max="8970" width="4.42578125" style="154" customWidth="1"/>
    <col min="8971" max="9216" width="9.140625" style="154"/>
    <col min="9217" max="9218" width="7" style="154" customWidth="1"/>
    <col min="9219" max="9226" width="4.42578125" style="154" customWidth="1"/>
    <col min="9227" max="9472" width="9.140625" style="154"/>
    <col min="9473" max="9474" width="7" style="154" customWidth="1"/>
    <col min="9475" max="9482" width="4.42578125" style="154" customWidth="1"/>
    <col min="9483" max="9728" width="9.140625" style="154"/>
    <col min="9729" max="9730" width="7" style="154" customWidth="1"/>
    <col min="9731" max="9738" width="4.42578125" style="154" customWidth="1"/>
    <col min="9739" max="9984" width="9.140625" style="154"/>
    <col min="9985" max="9986" width="7" style="154" customWidth="1"/>
    <col min="9987" max="9994" width="4.42578125" style="154" customWidth="1"/>
    <col min="9995" max="10240" width="9.140625" style="154"/>
    <col min="10241" max="10242" width="7" style="154" customWidth="1"/>
    <col min="10243" max="10250" width="4.42578125" style="154" customWidth="1"/>
    <col min="10251" max="10496" width="9.140625" style="154"/>
    <col min="10497" max="10498" width="7" style="154" customWidth="1"/>
    <col min="10499" max="10506" width="4.42578125" style="154" customWidth="1"/>
    <col min="10507" max="10752" width="9.140625" style="154"/>
    <col min="10753" max="10754" width="7" style="154" customWidth="1"/>
    <col min="10755" max="10762" width="4.42578125" style="154" customWidth="1"/>
    <col min="10763" max="11008" width="9.140625" style="154"/>
    <col min="11009" max="11010" width="7" style="154" customWidth="1"/>
    <col min="11011" max="11018" width="4.42578125" style="154" customWidth="1"/>
    <col min="11019" max="11264" width="9.140625" style="154"/>
    <col min="11265" max="11266" width="7" style="154" customWidth="1"/>
    <col min="11267" max="11274" width="4.42578125" style="154" customWidth="1"/>
    <col min="11275" max="11520" width="9.140625" style="154"/>
    <col min="11521" max="11522" width="7" style="154" customWidth="1"/>
    <col min="11523" max="11530" width="4.42578125" style="154" customWidth="1"/>
    <col min="11531" max="11776" width="9.140625" style="154"/>
    <col min="11777" max="11778" width="7" style="154" customWidth="1"/>
    <col min="11779" max="11786" width="4.42578125" style="154" customWidth="1"/>
    <col min="11787" max="12032" width="9.140625" style="154"/>
    <col min="12033" max="12034" width="7" style="154" customWidth="1"/>
    <col min="12035" max="12042" width="4.42578125" style="154" customWidth="1"/>
    <col min="12043" max="12288" width="9.140625" style="154"/>
    <col min="12289" max="12290" width="7" style="154" customWidth="1"/>
    <col min="12291" max="12298" width="4.42578125" style="154" customWidth="1"/>
    <col min="12299" max="12544" width="9.140625" style="154"/>
    <col min="12545" max="12546" width="7" style="154" customWidth="1"/>
    <col min="12547" max="12554" width="4.42578125" style="154" customWidth="1"/>
    <col min="12555" max="12800" width="9.140625" style="154"/>
    <col min="12801" max="12802" width="7" style="154" customWidth="1"/>
    <col min="12803" max="12810" width="4.42578125" style="154" customWidth="1"/>
    <col min="12811" max="13056" width="9.140625" style="154"/>
    <col min="13057" max="13058" width="7" style="154" customWidth="1"/>
    <col min="13059" max="13066" width="4.42578125" style="154" customWidth="1"/>
    <col min="13067" max="13312" width="9.140625" style="154"/>
    <col min="13313" max="13314" width="7" style="154" customWidth="1"/>
    <col min="13315" max="13322" width="4.42578125" style="154" customWidth="1"/>
    <col min="13323" max="13568" width="9.140625" style="154"/>
    <col min="13569" max="13570" width="7" style="154" customWidth="1"/>
    <col min="13571" max="13578" width="4.42578125" style="154" customWidth="1"/>
    <col min="13579" max="13824" width="9.140625" style="154"/>
    <col min="13825" max="13826" width="7" style="154" customWidth="1"/>
    <col min="13827" max="13834" width="4.42578125" style="154" customWidth="1"/>
    <col min="13835" max="14080" width="9.140625" style="154"/>
    <col min="14081" max="14082" width="7" style="154" customWidth="1"/>
    <col min="14083" max="14090" width="4.42578125" style="154" customWidth="1"/>
    <col min="14091" max="14336" width="9.140625" style="154"/>
    <col min="14337" max="14338" width="7" style="154" customWidth="1"/>
    <col min="14339" max="14346" width="4.42578125" style="154" customWidth="1"/>
    <col min="14347" max="14592" width="9.140625" style="154"/>
    <col min="14593" max="14594" width="7" style="154" customWidth="1"/>
    <col min="14595" max="14602" width="4.42578125" style="154" customWidth="1"/>
    <col min="14603" max="14848" width="9.140625" style="154"/>
    <col min="14849" max="14850" width="7" style="154" customWidth="1"/>
    <col min="14851" max="14858" width="4.42578125" style="154" customWidth="1"/>
    <col min="14859" max="15104" width="9.140625" style="154"/>
    <col min="15105" max="15106" width="7" style="154" customWidth="1"/>
    <col min="15107" max="15114" width="4.42578125" style="154" customWidth="1"/>
    <col min="15115" max="15360" width="9.140625" style="154"/>
    <col min="15361" max="15362" width="7" style="154" customWidth="1"/>
    <col min="15363" max="15370" width="4.42578125" style="154" customWidth="1"/>
    <col min="15371" max="15616" width="9.140625" style="154"/>
    <col min="15617" max="15618" width="7" style="154" customWidth="1"/>
    <col min="15619" max="15626" width="4.42578125" style="154" customWidth="1"/>
    <col min="15627" max="15872" width="9.140625" style="154"/>
    <col min="15873" max="15874" width="7" style="154" customWidth="1"/>
    <col min="15875" max="15882" width="4.42578125" style="154" customWidth="1"/>
    <col min="15883" max="16128" width="9.140625" style="154"/>
    <col min="16129" max="16130" width="7" style="154" customWidth="1"/>
    <col min="16131" max="16138" width="4.42578125" style="154" customWidth="1"/>
    <col min="16139" max="16384" width="9.140625" style="154"/>
  </cols>
  <sheetData>
    <row r="1" spans="1:10" ht="28.5" customHeight="1" x14ac:dyDescent="0.2">
      <c r="A1" s="812" t="s">
        <v>323</v>
      </c>
      <c r="B1" s="812"/>
      <c r="C1" s="812"/>
      <c r="D1" s="812"/>
      <c r="E1" s="812"/>
      <c r="F1" s="812"/>
      <c r="G1" s="812"/>
      <c r="H1" s="812"/>
      <c r="I1" s="812"/>
      <c r="J1" s="812"/>
    </row>
    <row r="2" spans="1:10" ht="13.5" thickBot="1" x14ac:dyDescent="0.25"/>
    <row r="3" spans="1:10" ht="21.75" customHeight="1" thickTop="1" thickBot="1" x14ac:dyDescent="0.25">
      <c r="A3" s="813" t="s">
        <v>324</v>
      </c>
      <c r="B3" s="814"/>
      <c r="C3" s="806" t="s">
        <v>325</v>
      </c>
      <c r="D3" s="819"/>
      <c r="E3" s="819"/>
      <c r="F3" s="819"/>
      <c r="G3" s="819"/>
      <c r="H3" s="819"/>
      <c r="I3" s="819"/>
      <c r="J3" s="811"/>
    </row>
    <row r="4" spans="1:10" ht="21.75" customHeight="1" x14ac:dyDescent="0.2">
      <c r="A4" s="815"/>
      <c r="B4" s="816"/>
      <c r="C4" s="820" t="s">
        <v>326</v>
      </c>
      <c r="D4" s="821"/>
      <c r="E4" s="821"/>
      <c r="F4" s="822"/>
      <c r="G4" s="820" t="s">
        <v>327</v>
      </c>
      <c r="H4" s="821"/>
      <c r="I4" s="821"/>
      <c r="J4" s="822"/>
    </row>
    <row r="5" spans="1:10" ht="21.75" customHeight="1" thickBot="1" x14ac:dyDescent="0.25">
      <c r="A5" s="817"/>
      <c r="B5" s="818"/>
      <c r="C5" s="823"/>
      <c r="D5" s="824"/>
      <c r="E5" s="824"/>
      <c r="F5" s="825"/>
      <c r="G5" s="823"/>
      <c r="H5" s="824"/>
      <c r="I5" s="824"/>
      <c r="J5" s="825"/>
    </row>
    <row r="6" spans="1:10" ht="20.25" customHeight="1" thickTop="1" thickBot="1" x14ac:dyDescent="0.25">
      <c r="A6" s="395" t="s">
        <v>0</v>
      </c>
      <c r="B6" s="396" t="s">
        <v>159</v>
      </c>
      <c r="C6" s="806" t="s">
        <v>328</v>
      </c>
      <c r="D6" s="807"/>
      <c r="E6" s="808" t="s">
        <v>329</v>
      </c>
      <c r="F6" s="808"/>
      <c r="G6" s="809" t="s">
        <v>328</v>
      </c>
      <c r="H6" s="807"/>
      <c r="I6" s="810" t="s">
        <v>329</v>
      </c>
      <c r="J6" s="811"/>
    </row>
    <row r="7" spans="1:10" x14ac:dyDescent="0.2">
      <c r="A7" s="828">
        <v>300</v>
      </c>
      <c r="B7" s="829">
        <f>A7*2.20462</f>
        <v>661.38599999999997</v>
      </c>
      <c r="C7" s="397">
        <f>'Centre of Gravity Calc'!F4</f>
        <v>628.08320223404178</v>
      </c>
      <c r="D7" s="398" t="s">
        <v>1</v>
      </c>
      <c r="E7" s="399">
        <f>'Centre of Gravity Calc'!G4</f>
        <v>628.08320223404178</v>
      </c>
      <c r="F7" s="400" t="s">
        <v>1</v>
      </c>
      <c r="G7" s="397">
        <f>'Centre of Gravity Calc'!H4</f>
        <v>631.5</v>
      </c>
      <c r="H7" s="398" t="s">
        <v>1</v>
      </c>
      <c r="I7" s="397">
        <f>'Centre of Gravity Calc'!I4</f>
        <v>641.36666666666667</v>
      </c>
      <c r="J7" s="398" t="s">
        <v>1</v>
      </c>
    </row>
    <row r="8" spans="1:10" x14ac:dyDescent="0.2">
      <c r="A8" s="826"/>
      <c r="B8" s="827"/>
      <c r="C8" s="401">
        <f>C7*0.0393701</f>
        <v>24.727698480274448</v>
      </c>
      <c r="D8" s="402" t="s">
        <v>102</v>
      </c>
      <c r="E8" s="403">
        <f>E7*0.0393701</f>
        <v>24.727698480274448</v>
      </c>
      <c r="F8" s="404" t="s">
        <v>102</v>
      </c>
      <c r="G8" s="401">
        <f>G7*0.0393701</f>
        <v>24.86221815</v>
      </c>
      <c r="H8" s="402" t="s">
        <v>102</v>
      </c>
      <c r="I8" s="401">
        <f>I7*0.0393701</f>
        <v>25.250669803333331</v>
      </c>
      <c r="J8" s="402" t="s">
        <v>102</v>
      </c>
    </row>
    <row r="9" spans="1:10" x14ac:dyDescent="0.2">
      <c r="A9" s="826">
        <v>310</v>
      </c>
      <c r="B9" s="827">
        <f>A9*2.20642</f>
        <v>683.99019999999996</v>
      </c>
      <c r="C9" s="405">
        <f>'Centre of Gravity Calc'!F5</f>
        <v>621.2639946065301</v>
      </c>
      <c r="D9" s="406" t="s">
        <v>1</v>
      </c>
      <c r="E9" s="405">
        <f>'Centre of Gravity Calc'!G5</f>
        <v>621.2639946065301</v>
      </c>
      <c r="F9" s="406" t="s">
        <v>1</v>
      </c>
      <c r="G9" s="405">
        <f>'Centre of Gravity Calc'!H5</f>
        <v>623.70967741935488</v>
      </c>
      <c r="H9" s="406" t="s">
        <v>1</v>
      </c>
      <c r="I9" s="405">
        <f>'Centre of Gravity Calc'!I5</f>
        <v>633.51612903225805</v>
      </c>
      <c r="J9" s="406" t="s">
        <v>1</v>
      </c>
    </row>
    <row r="10" spans="1:10" x14ac:dyDescent="0.2">
      <c r="A10" s="826"/>
      <c r="B10" s="827"/>
      <c r="C10" s="401">
        <f>C9*0.0393701</f>
        <v>24.459225594058548</v>
      </c>
      <c r="D10" s="402" t="s">
        <v>102</v>
      </c>
      <c r="E10" s="401">
        <f>E9*0.0393701</f>
        <v>24.459225594058548</v>
      </c>
      <c r="F10" s="402" t="s">
        <v>102</v>
      </c>
      <c r="G10" s="401">
        <f>G9*0.0393701</f>
        <v>24.555512370967744</v>
      </c>
      <c r="H10" s="402" t="s">
        <v>102</v>
      </c>
      <c r="I10" s="401">
        <f>I9*0.0393701</f>
        <v>24.941593351612902</v>
      </c>
      <c r="J10" s="402" t="s">
        <v>102</v>
      </c>
    </row>
    <row r="11" spans="1:10" x14ac:dyDescent="0.2">
      <c r="A11" s="826">
        <v>320</v>
      </c>
      <c r="B11" s="827">
        <f>A11*2.20642</f>
        <v>706.05439999999999</v>
      </c>
      <c r="C11" s="405">
        <f>'Centre of Gravity Calc'!F6</f>
        <v>614.86980749777297</v>
      </c>
      <c r="D11" s="406" t="s">
        <v>1</v>
      </c>
      <c r="E11" s="405">
        <f>'Centre of Gravity Calc'!G6</f>
        <v>614.86980749777297</v>
      </c>
      <c r="F11" s="406" t="s">
        <v>1</v>
      </c>
      <c r="G11" s="405">
        <f>'Centre of Gravity Calc'!H6</f>
        <v>616.40625</v>
      </c>
      <c r="H11" s="406" t="s">
        <v>1</v>
      </c>
      <c r="I11" s="405">
        <f>'Centre of Gravity Calc'!I6</f>
        <v>626.15625</v>
      </c>
      <c r="J11" s="406" t="s">
        <v>1</v>
      </c>
    </row>
    <row r="12" spans="1:10" x14ac:dyDescent="0.2">
      <c r="A12" s="826"/>
      <c r="B12" s="827"/>
      <c r="C12" s="401">
        <f>C11*0.0393701</f>
        <v>24.207485808168069</v>
      </c>
      <c r="D12" s="402" t="s">
        <v>102</v>
      </c>
      <c r="E12" s="401">
        <f>E11*0.0393701</f>
        <v>24.207485808168069</v>
      </c>
      <c r="F12" s="402" t="s">
        <v>102</v>
      </c>
      <c r="G12" s="401">
        <f>G11*0.0393701</f>
        <v>24.267975703125</v>
      </c>
      <c r="H12" s="402" t="s">
        <v>102</v>
      </c>
      <c r="I12" s="401">
        <f>I11*0.0393701</f>
        <v>24.651834178125</v>
      </c>
      <c r="J12" s="402" t="s">
        <v>102</v>
      </c>
    </row>
    <row r="13" spans="1:10" x14ac:dyDescent="0.2">
      <c r="A13" s="826">
        <v>330</v>
      </c>
      <c r="B13" s="827">
        <f>A13*2.20642</f>
        <v>728.11860000000001</v>
      </c>
      <c r="C13" s="405">
        <f>'Centre of Gravity Calc'!F7</f>
        <v>608.8640321559601</v>
      </c>
      <c r="D13" s="406" t="s">
        <v>1</v>
      </c>
      <c r="E13" s="405">
        <f>'Centre of Gravity Calc'!G7</f>
        <v>608.8640321559601</v>
      </c>
      <c r="F13" s="406" t="s">
        <v>1</v>
      </c>
      <c r="G13" s="405">
        <f>'Centre of Gravity Calc'!H7</f>
        <v>609.5454545454545</v>
      </c>
      <c r="H13" s="406" t="s">
        <v>1</v>
      </c>
      <c r="I13" s="405">
        <f>'Centre of Gravity Calc'!I7</f>
        <v>619.24242424242425</v>
      </c>
      <c r="J13" s="406" t="s">
        <v>1</v>
      </c>
    </row>
    <row r="14" spans="1:10" x14ac:dyDescent="0.2">
      <c r="A14" s="826"/>
      <c r="B14" s="827"/>
      <c r="C14" s="401">
        <f>C13*0.0393701</f>
        <v>23.971037832383363</v>
      </c>
      <c r="D14" s="402" t="s">
        <v>102</v>
      </c>
      <c r="E14" s="401">
        <f>E13*0.0393701</f>
        <v>23.971037832383363</v>
      </c>
      <c r="F14" s="402" t="s">
        <v>102</v>
      </c>
      <c r="G14" s="401">
        <f>G13*0.0393701</f>
        <v>23.997865499999996</v>
      </c>
      <c r="H14" s="402" t="s">
        <v>102</v>
      </c>
      <c r="I14" s="401">
        <f>I13*0.0393701</f>
        <v>24.379636166666664</v>
      </c>
      <c r="J14" s="402" t="s">
        <v>102</v>
      </c>
    </row>
    <row r="15" spans="1:10" x14ac:dyDescent="0.2">
      <c r="A15" s="826">
        <v>340</v>
      </c>
      <c r="B15" s="827">
        <f>A15*2.20642</f>
        <v>750.18280000000004</v>
      </c>
      <c r="C15" s="405">
        <f>'Centre of Gravity Calc'!F8</f>
        <v>603.21068973425758</v>
      </c>
      <c r="D15" s="406" t="s">
        <v>1</v>
      </c>
      <c r="E15" s="405">
        <f>'Centre of Gravity Calc'!G8</f>
        <v>603.21068973425758</v>
      </c>
      <c r="F15" s="406" t="s">
        <v>1</v>
      </c>
      <c r="G15" s="405">
        <f>'Centre of Gravity Calc'!H8</f>
        <v>603.08823529411768</v>
      </c>
      <c r="H15" s="406" t="s">
        <v>1</v>
      </c>
      <c r="I15" s="405">
        <f>'Centre of Gravity Calc'!I8</f>
        <v>612.73529411764707</v>
      </c>
      <c r="J15" s="406" t="s">
        <v>1</v>
      </c>
    </row>
    <row r="16" spans="1:10" x14ac:dyDescent="0.2">
      <c r="A16" s="826"/>
      <c r="B16" s="827"/>
      <c r="C16" s="401">
        <f>C15*0.0393701</f>
        <v>23.748465175906695</v>
      </c>
      <c r="D16" s="402" t="s">
        <v>102</v>
      </c>
      <c r="E16" s="401">
        <f>E15*0.0393701</f>
        <v>23.748465175906695</v>
      </c>
      <c r="F16" s="402" t="s">
        <v>102</v>
      </c>
      <c r="G16" s="401">
        <f>G15*0.0393701</f>
        <v>23.743644132352941</v>
      </c>
      <c r="H16" s="402" t="s">
        <v>102</v>
      </c>
      <c r="I16" s="401">
        <f>I15*0.0393701</f>
        <v>24.123449802941177</v>
      </c>
      <c r="J16" s="402" t="s">
        <v>102</v>
      </c>
    </row>
  </sheetData>
  <mergeCells count="19">
    <mergeCell ref="A13:A14"/>
    <mergeCell ref="B13:B14"/>
    <mergeCell ref="A15:A16"/>
    <mergeCell ref="B15:B16"/>
    <mergeCell ref="A7:A8"/>
    <mergeCell ref="B7:B8"/>
    <mergeCell ref="A9:A10"/>
    <mergeCell ref="B9:B10"/>
    <mergeCell ref="A11:A12"/>
    <mergeCell ref="B11:B12"/>
    <mergeCell ref="C6:D6"/>
    <mergeCell ref="E6:F6"/>
    <mergeCell ref="G6:H6"/>
    <mergeCell ref="I6:J6"/>
    <mergeCell ref="A1:J1"/>
    <mergeCell ref="A3:B5"/>
    <mergeCell ref="C3:J3"/>
    <mergeCell ref="C4:F5"/>
    <mergeCell ref="G4: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20</vt:i4>
      </vt:variant>
      <vt:variant>
        <vt:lpstr>Diagramme</vt:lpstr>
      </vt:variant>
      <vt:variant>
        <vt:i4>2</vt:i4>
      </vt:variant>
      <vt:variant>
        <vt:lpstr>Benannte Bereiche</vt:lpstr>
      </vt:variant>
      <vt:variant>
        <vt:i4>9</vt:i4>
      </vt:variant>
    </vt:vector>
  </HeadingPairs>
  <TitlesOfParts>
    <vt:vector size="31" baseType="lpstr">
      <vt:lpstr>Entry Form</vt:lpstr>
      <vt:lpstr>W&amp;B Report Imperial</vt:lpstr>
      <vt:lpstr>W&amp;B Report Metric</vt:lpstr>
      <vt:lpstr>JS3 15m CG Envelope</vt:lpstr>
      <vt:lpstr>JS3 18m CG Envelope</vt:lpstr>
      <vt:lpstr>Config</vt:lpstr>
      <vt:lpstr>Revision History</vt:lpstr>
      <vt:lpstr>Centre of Gravity Calc</vt:lpstr>
      <vt:lpstr>Centre of Gravity Manual Format</vt:lpstr>
      <vt:lpstr>Main Water Ballast</vt:lpstr>
      <vt:lpstr>Main Water Ballast_132l</vt:lpstr>
      <vt:lpstr>Main Water Ballast_156l</vt:lpstr>
      <vt:lpstr>Tail Water Ballast</vt:lpstr>
      <vt:lpstr>Non-expendable tail tank</vt:lpstr>
      <vt:lpstr>Nose Ballast</vt:lpstr>
      <vt:lpstr>Nose Ballast (2)</vt:lpstr>
      <vt:lpstr>Non-expendable tail tank (2)</vt:lpstr>
      <vt:lpstr>Sheet2</vt:lpstr>
      <vt:lpstr>Sheet1</vt:lpstr>
      <vt:lpstr>Sheet3</vt:lpstr>
      <vt:lpstr>Exp tank loading chart</vt:lpstr>
      <vt:lpstr>Water ballast momentarm vs mass</vt:lpstr>
      <vt:lpstr>Aftlimit</vt:lpstr>
      <vt:lpstr>'Entry Form'!Druckbereich</vt:lpstr>
      <vt:lpstr>Massfuelbottom</vt:lpstr>
      <vt:lpstr>MfuelTop</vt:lpstr>
      <vt:lpstr>SpanID</vt:lpstr>
      <vt:lpstr>Xfuelbottom</vt:lpstr>
      <vt:lpstr>Xfueltop</vt:lpstr>
      <vt:lpstr>XPilot</vt:lpstr>
      <vt:lpstr>XTT</vt:lpstr>
    </vt:vector>
  </TitlesOfParts>
  <Company>NWU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DX7300</dc:creator>
  <cp:lastModifiedBy>Sebastian Tschorn</cp:lastModifiedBy>
  <cp:lastPrinted>2025-07-10T11:14:22Z</cp:lastPrinted>
  <dcterms:created xsi:type="dcterms:W3CDTF">2008-03-19T10:38:48Z</dcterms:created>
  <dcterms:modified xsi:type="dcterms:W3CDTF">2025-07-10T12:45:39Z</dcterms:modified>
</cp:coreProperties>
</file>